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255" yWindow="240" windowWidth="10575" windowHeight="12585"/>
  </bookViews>
  <sheets>
    <sheet name="Fee Schedule Tool" sheetId="4" r:id="rId1"/>
    <sheet name="Info" sheetId="13" state="hidden" r:id="rId2"/>
  </sheets>
  <definedNames>
    <definedName name="_xlnm.Print_Area" localSheetId="0">'Fee Schedule Tool'!$A$1:$J$142</definedName>
  </definedNames>
  <calcPr calcId="145621"/>
</workbook>
</file>

<file path=xl/calcChain.xml><?xml version="1.0" encoding="utf-8"?>
<calcChain xmlns="http://schemas.openxmlformats.org/spreadsheetml/2006/main">
  <c r="K9" i="13" l="1"/>
  <c r="K8" i="13"/>
  <c r="K7" i="13"/>
  <c r="H75" i="4" l="1"/>
  <c r="F111" i="4" l="1"/>
  <c r="F106" i="4"/>
  <c r="H77" i="4"/>
  <c r="E1" i="13"/>
  <c r="H78" i="4"/>
  <c r="H73" i="4"/>
  <c r="H101" i="4" l="1"/>
  <c r="H100" i="4"/>
  <c r="H99" i="4"/>
  <c r="I6" i="13"/>
  <c r="I7" i="13"/>
  <c r="H13" i="13" l="1"/>
  <c r="H12" i="13"/>
  <c r="H11" i="13"/>
  <c r="H10" i="13"/>
  <c r="AB9" i="13"/>
  <c r="J9" i="13"/>
  <c r="I9" i="13"/>
  <c r="H9" i="13"/>
  <c r="AB8" i="13"/>
  <c r="J8" i="13"/>
  <c r="I8" i="13"/>
  <c r="H8" i="13"/>
  <c r="AB7" i="13"/>
  <c r="J7" i="13"/>
  <c r="H7" i="13"/>
  <c r="AB6" i="13"/>
  <c r="K6" i="13"/>
  <c r="J6" i="13"/>
  <c r="H6" i="13"/>
  <c r="AG4" i="13"/>
  <c r="E109" i="4" s="1"/>
  <c r="AA2" i="13"/>
  <c r="Z2" i="13"/>
  <c r="Y2" i="13"/>
  <c r="X2" i="13"/>
  <c r="AH1" i="13"/>
  <c r="AG1" i="13"/>
  <c r="AF1" i="13"/>
  <c r="AE1" i="13"/>
  <c r="AD1" i="13"/>
  <c r="AC1" i="13"/>
  <c r="AB1" i="13"/>
  <c r="AA1" i="13"/>
  <c r="Z1" i="13"/>
  <c r="Y1" i="13"/>
  <c r="X1" i="13"/>
  <c r="W1" i="13"/>
  <c r="V1" i="13"/>
  <c r="U1" i="13"/>
  <c r="T1" i="13"/>
  <c r="S1" i="13"/>
  <c r="R1" i="13"/>
  <c r="Q1" i="13"/>
  <c r="P1" i="13"/>
  <c r="O1" i="13"/>
  <c r="N1" i="13"/>
  <c r="M1" i="13"/>
  <c r="L1" i="13"/>
  <c r="K1" i="13"/>
  <c r="J1" i="13"/>
  <c r="I1" i="13"/>
  <c r="H1" i="13"/>
  <c r="G1" i="13"/>
  <c r="C1" i="13"/>
  <c r="B1" i="13"/>
  <c r="A1" i="13"/>
  <c r="H98" i="4" s="1"/>
  <c r="H110" i="4"/>
  <c r="E110" i="4"/>
  <c r="H108" i="4"/>
  <c r="E108" i="4"/>
  <c r="E107" i="4"/>
  <c r="H105" i="4"/>
  <c r="H104" i="4"/>
  <c r="H103" i="4"/>
  <c r="H102" i="4"/>
  <c r="H97" i="4"/>
  <c r="H96" i="4"/>
  <c r="H95" i="4"/>
  <c r="H93" i="4"/>
  <c r="H92" i="4"/>
  <c r="H91" i="4"/>
  <c r="H90" i="4"/>
  <c r="H89" i="4"/>
  <c r="H87" i="4"/>
  <c r="C16" i="4"/>
  <c r="M4" i="13" s="1"/>
  <c r="H86" i="4" s="1"/>
  <c r="C15" i="4"/>
  <c r="J4" i="13"/>
  <c r="K10" i="13" l="1"/>
  <c r="H84" i="4" s="1"/>
  <c r="H79" i="4"/>
  <c r="H85" i="4"/>
  <c r="H94" i="4"/>
  <c r="H4" i="13"/>
  <c r="AB10" i="13"/>
  <c r="H74" i="4"/>
  <c r="J10" i="13"/>
  <c r="H83" i="4" s="1"/>
  <c r="I10" i="13"/>
  <c r="H82" i="4" s="1"/>
  <c r="H14" i="13"/>
  <c r="H81" i="4" l="1"/>
  <c r="H107" i="4" l="1"/>
  <c r="H109" i="4" l="1"/>
</calcChain>
</file>

<file path=xl/comments1.xml><?xml version="1.0" encoding="utf-8"?>
<comments xmlns="http://schemas.openxmlformats.org/spreadsheetml/2006/main">
  <authors>
    <author>Christopher Valeri</author>
  </authors>
  <commentList>
    <comment ref="F78" authorId="0">
      <text>
        <r>
          <rPr>
            <sz val="16"/>
            <color indexed="81"/>
            <rFont val="Franklin Gothic Book"/>
            <family val="2"/>
          </rPr>
          <t>Enter Additional Units</t>
        </r>
      </text>
    </comment>
    <comment ref="F86" authorId="0">
      <text>
        <r>
          <rPr>
            <sz val="16"/>
            <color indexed="81"/>
            <rFont val="Franklin Gothic Book"/>
            <family val="2"/>
          </rPr>
          <t>Enter number of additional dumpsters</t>
        </r>
      </text>
    </comment>
    <comment ref="F87" authorId="0">
      <text>
        <r>
          <rPr>
            <sz val="16"/>
            <color indexed="81"/>
            <rFont val="Franklin Gothic Book"/>
            <family val="2"/>
          </rPr>
          <t>Enter tonnage estimate here</t>
        </r>
      </text>
    </comment>
    <comment ref="F89" authorId="0">
      <text>
        <r>
          <rPr>
            <sz val="16"/>
            <color indexed="81"/>
            <rFont val="Franklin Gothic Book"/>
            <family val="2"/>
          </rPr>
          <t>Enter number of staff hours</t>
        </r>
      </text>
    </comment>
    <comment ref="F90" authorId="0">
      <text>
        <r>
          <rPr>
            <sz val="16"/>
            <color indexed="81"/>
            <rFont val="Franklin Gothic Book"/>
            <family val="2"/>
          </rPr>
          <t>Enter number of staff hours</t>
        </r>
      </text>
    </comment>
    <comment ref="F92" authorId="0">
      <text>
        <r>
          <rPr>
            <sz val="16"/>
            <color indexed="81"/>
            <rFont val="Franklin Gothic Book"/>
            <family val="2"/>
          </rPr>
          <t>Enter estimated cost</t>
        </r>
      </text>
    </comment>
    <comment ref="F93" authorId="0">
      <text>
        <r>
          <rPr>
            <sz val="16"/>
            <color indexed="81"/>
            <rFont val="Franklin Gothic Book"/>
            <family val="2"/>
          </rPr>
          <t>Enter number of boxes</t>
        </r>
      </text>
    </comment>
    <comment ref="F94" authorId="0">
      <text>
        <r>
          <rPr>
            <sz val="16"/>
            <color indexed="81"/>
            <rFont val="Franklin Gothic Book"/>
            <family val="2"/>
          </rPr>
          <t>Enter Number of Loads</t>
        </r>
      </text>
    </comment>
    <comment ref="F98" authorId="0">
      <text>
        <r>
          <rPr>
            <sz val="16"/>
            <color indexed="81"/>
            <rFont val="Franklin Gothic Book"/>
            <family val="2"/>
          </rPr>
          <t>Enter total number of hours</t>
        </r>
      </text>
    </comment>
    <comment ref="F99" authorId="0">
      <text>
        <r>
          <rPr>
            <sz val="16"/>
            <color indexed="81"/>
            <rFont val="Franklin Gothic Book"/>
            <family val="2"/>
          </rPr>
          <t>Enter total number of hours</t>
        </r>
      </text>
    </comment>
    <comment ref="F100" authorId="0">
      <text>
        <r>
          <rPr>
            <sz val="16"/>
            <color indexed="81"/>
            <rFont val="Franklin Gothic Book"/>
            <family val="2"/>
          </rPr>
          <t>Enter total number of hours</t>
        </r>
      </text>
    </comment>
    <comment ref="F101" authorId="0">
      <text>
        <r>
          <rPr>
            <sz val="16"/>
            <color indexed="81"/>
            <rFont val="Franklin Gothic Book"/>
            <family val="2"/>
          </rPr>
          <t>Enter total number of hours</t>
        </r>
      </text>
    </comment>
    <comment ref="F103" authorId="0">
      <text>
        <r>
          <rPr>
            <sz val="16"/>
            <color indexed="81"/>
            <rFont val="Franklin Gothic Book"/>
            <family val="2"/>
          </rPr>
          <t>Enter total number of parking spots</t>
        </r>
      </text>
    </comment>
    <comment ref="G103" authorId="0">
      <text>
        <r>
          <rPr>
            <sz val="16"/>
            <color indexed="81"/>
            <rFont val="Franklin Gothic Book"/>
            <family val="2"/>
          </rPr>
          <t>Enter the number of hours</t>
        </r>
      </text>
    </comment>
    <comment ref="F104" authorId="0">
      <text>
        <r>
          <rPr>
            <sz val="16"/>
            <color indexed="81"/>
            <rFont val="Franklin Gothic Book"/>
            <family val="2"/>
          </rPr>
          <t>Enter number of parking spots</t>
        </r>
      </text>
    </comment>
    <comment ref="G104" authorId="0">
      <text>
        <r>
          <rPr>
            <sz val="16"/>
            <color indexed="81"/>
            <rFont val="Franklin Gothic Book"/>
            <family val="2"/>
          </rPr>
          <t>Enter then number of overnight occurrences</t>
        </r>
      </text>
    </comment>
    <comment ref="F105" authorId="0">
      <text>
        <r>
          <rPr>
            <sz val="16"/>
            <color indexed="81"/>
            <rFont val="Franklin Gothic Book"/>
            <family val="2"/>
          </rPr>
          <t>Enter number of uses</t>
        </r>
      </text>
    </comment>
  </commentList>
</comments>
</file>

<file path=xl/comments2.xml><?xml version="1.0" encoding="utf-8"?>
<comments xmlns="http://schemas.openxmlformats.org/spreadsheetml/2006/main">
  <authors>
    <author>Christopher Valeri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Sandra Lefrancois:
if Organizer status = Commercial , then $2,296.76/day
if Organizer status = NfP/Charitable or Community Group, then  $139.48/day
if Organizer status = Affiliate, then  $110.54/day
use total number of days onsite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Sandra Lefrancois:
if Number of commercial vendors &lt; 15, then $0
if Number of commercial vendors = 16-30, then $560.18
if Number of commercial vendors &gt; 31, then $1,120.37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Sandra Lefrancois:
if Organizer status = Commercial or NfP/Charitable, then $147.36
if Organizer status = Community Group, then $124.44
if Organizer status = Affiliate, then $105.25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Sandra Lefrancois:
[Set-up/load-in day start time to set-up/load-in day end time] + 
[Day 1 load-in start time to Day 1 load-out end time + 1 hour] * x + 
[Day 2 load-in start time to Day 2 load-out end time + 1 hour] * x + 
[Day 3 load-in start time to Day 3 load-out end time + 1 hour] * x + 
[Day 4 load-in start time to Day 4 load-out end time + 1 hour] * x + 
[Clean up day start time to clean-up end time]
if total number of vendors &lt; or = 9, then x = 1 staff
if total number of vendors &gt; or = 10 and &lt; or = 20, then x = 2 staff
if total number of vendors &lt; or = 21, then x = 1 staff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Sandra Lefrancois:
[Event day 1 sound check start time until  Event day 1 stage end time] + [Event day 2 sound check start time until  Event day 2 stage end time] + [Event day 3 sound check start time until  Event day 3 stage end time] + [Event day 4 sound check start time until  Event day 4 stage end time]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Sandra Lefrancois:
[Day 1 load-in start time to Day 1 load-out end time + 1 hour] * x + 
[Day 2 load-in start time to Day 2 load-out end time + 1 hour] * x + 
[Day 3 load-in start time to Day 3 load-out end time + 1 hour] * x + 
[Day 4 load-in start time to Day 4 load-out end time + 1 hour] * x + 
if total number of vendors &lt; or = 19, then x = 1 staff
if total number of vendors &gt; or = 20, then x = 2 staff
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Sandra Lefrancois:
[Day 1 event start time to Day 1 event end time + 1 hour] + 
[Day 2 event start time to Day 2 event end time + 1 hour] + 
[Day 3 event start time to Day 3 event end time + 1 hour]  + 
[Day 4 event start time to Day 4 event end time + 1 hour] 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Sandra Lefrancois:
If projected daily attendance &lt; or = 4,999 attendees, and Number of food vendors &lt; or = 5, then $539 * number of event days
If projected daily attendance &gt; or = 5,000 attendees, and Number of food vendors &gt; or = 6, then $924 * number of event days
CV:YOU NEED TO PICK AN EITHER OR SCENARIO IF MY FORMULA DOESN"T WORK BASED ON PEOPLE COUNT FIRST because of subjectivity so I created the formula as such below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Sandra Lefrancois:
if Organizer status = Commercial or NfP/Charitable, then $294.70 x number entered
if Organizer status = Community Group, then $252.61 x number entered
if Organizer status = Affiliate, then $210.50 x number entered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Sandra Lefrancois:
if Organizer status = Commercial or NfP/Charitable, then $147.36
if Organizer status = Community Group, then $124.44
if Organizer status = Affiliate, then $105.25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Sandra Lefrancois:
if Organizer status = Commercial or NfP/Charitable, then $147.36
if Organizer status = Community Group, then $124.44
if Organizer status = Affiliate, then $105.25</t>
        </r>
      </text>
    </comment>
    <comment ref="W1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Sandra Lefrancois:
if Organizer status = Commercial or NfP/Charitable, then $147.36
if Organizer status = Community Group, then $124.44
if Organizer status = Affiliate, then $105.25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Sandra Lefrancois:
number * x
If Organizer status = Commercial, then x = $31.50
If Organizer status = Not-for-profit, then x = $22.95
If Organizer status = Community Group, then x = $16.32
If Organizer status = Affiliate, then x = $14.28
Sandra Lefrancois:
number * x
If Organizer status = Commercial, then x = $41.90
If Organizer status = Not-for-profit, then x = $30.52
If Organizer status = Community Group, then x = $21.71
If Organizer status = Affiliate, then x = $18.99</t>
        </r>
      </text>
    </comment>
    <comment ref="Z1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Sandra Lefrancois:
number * x
If Organizer status = Commercial, then x = $144.77
If Organizer status = Not-for-profit, then x = $105.48
If Organizer status = Community Group, then x = $86.75
If Organizer status = Affiliate, then x = $70.32
Sandra Lefrancois:
number * x
If Organizer status = Commercial, then x = $172.53
If Organizer status = Not-for-profit, then x = $125.42
If Organizer status = Community Group, then x = $105.48
If Organizer status = Affiliate, then x = $56.26</t>
        </r>
      </text>
    </comment>
    <comment ref="AB1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Sandra Lefrancois:
If projected daily attendance &lt; or = 4,999 attendees, and Number of food vendors &lt; or = 5, then $79 * x
If projected daily attendance &gt; or = 5,000 attendees, and Number of food vendors &gt; or = 6, then $924  * x
x = [day 1 event start time + 2 hours until day 1 event end time] + [day 2 event start time until 2 hours  day 2 event end time] + [day 3 event start time + 2 hours until day 3 event end time] + [day 4 event start time + 2 hours  day 4 event end time]
*corrected, as it was confusing. 2 Hours from start time</t>
        </r>
      </text>
    </comment>
    <comment ref="K3" authorId="0">
      <text>
        <r>
          <rPr>
            <b/>
            <sz val="9"/>
            <color indexed="81"/>
            <rFont val="Tahoma"/>
            <charset val="1"/>
          </rPr>
          <t>Christopher Valeri:</t>
        </r>
        <r>
          <rPr>
            <sz val="9"/>
            <color indexed="81"/>
            <rFont val="Tahoma"/>
            <charset val="1"/>
          </rPr>
          <t xml:space="preserve">
Per hour rate</t>
        </r>
      </text>
    </comment>
    <comment ref="L3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light</t>
        </r>
      </text>
    </comment>
    <comment ref="R3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10% charge currently so this is a multiplier</t>
        </r>
      </text>
    </comment>
    <comment ref="AB3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Light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number of staff for day based on:
if total number of vendors &lt; or = 9, then x = 1 staff
if total number of vendors &gt; or = 10 and &lt; or = 20, then x = 2 staff
if total number of vendors &lt; or = 21, then x =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number of staff for day based on:
if total number of vendors &lt; or = 19, then x = 1 staff
if total number of vendors &gt; or = 20, then x = 2 staff
</t>
        </r>
      </text>
    </comment>
    <comment ref="K4" authorId="0">
      <text>
        <r>
          <rPr>
            <b/>
            <sz val="9"/>
            <color indexed="81"/>
            <rFont val="Tahoma"/>
            <charset val="1"/>
          </rPr>
          <t>Christopher Valeri:</t>
        </r>
        <r>
          <rPr>
            <sz val="9"/>
            <color indexed="81"/>
            <rFont val="Tahoma"/>
            <charset val="1"/>
          </rPr>
          <t xml:space="preserve">
Staff level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heavy</t>
        </r>
      </text>
    </comment>
    <comment ref="AB4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Heavy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Set up day 1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Day 1 from end to sound check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Day 1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Day 1</t>
        </r>
      </text>
    </comment>
    <comment ref="AB6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Day 1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Set up day 2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Day 2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Day 2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Day 2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Setup day 3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Day 3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Day 3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Day 3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Day 1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Day 4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Day 4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Day 4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Day 2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4 hours per day no matter what?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Day 3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Day 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Christopher Valeri:</t>
        </r>
        <r>
          <rPr>
            <sz val="9"/>
            <color indexed="81"/>
            <rFont val="Tahoma"/>
            <family val="2"/>
          </rPr>
          <t xml:space="preserve">
Clean-up / load-out day</t>
        </r>
      </text>
    </comment>
  </commentList>
</comments>
</file>

<file path=xl/sharedStrings.xml><?xml version="1.0" encoding="utf-8"?>
<sst xmlns="http://schemas.openxmlformats.org/spreadsheetml/2006/main" count="244" uniqueCount="225">
  <si>
    <t>COST (pre tax)</t>
  </si>
  <si>
    <t>UNITS</t>
  </si>
  <si>
    <t>Noel Ryan Auditorium</t>
  </si>
  <si>
    <t>Technical Support</t>
  </si>
  <si>
    <t>HST</t>
  </si>
  <si>
    <t>Late Use Charge / Penalty</t>
  </si>
  <si>
    <t>Non-Sufficient Funds (NSF) Charge</t>
  </si>
  <si>
    <t>PAYMENT SCHEDULE</t>
  </si>
  <si>
    <t>MCS Onsite Coordinator</t>
  </si>
  <si>
    <t>◦ 10% of previous year actuals due at signing of contract</t>
  </si>
  <si>
    <t>Rates in effect January 2017 - December 2017</t>
  </si>
  <si>
    <t>Organizer status</t>
  </si>
  <si>
    <t>Number of commercial vendors</t>
  </si>
  <si>
    <t xml:space="preserve">Total number of vendors </t>
  </si>
  <si>
    <t>MANDATORY</t>
  </si>
  <si>
    <t>FEES EXCLUDE</t>
  </si>
  <si>
    <t>◦ Peel Regional Police</t>
  </si>
  <si>
    <t>◦ Road closure &amp; all associated costs</t>
  </si>
  <si>
    <t xml:space="preserve">◦ Engineering assessments </t>
  </si>
  <si>
    <t>◦ Insurance</t>
  </si>
  <si>
    <t>◦ Vendor licensing</t>
  </si>
  <si>
    <t>◦ All other City of Mississauga charges not listed here</t>
  </si>
  <si>
    <t>MCS Permit</t>
  </si>
  <si>
    <t>Umbrella set-up</t>
  </si>
  <si>
    <t>Building Service Technician</t>
  </si>
  <si>
    <t>Show Hard Drive</t>
  </si>
  <si>
    <t>2 Custodians</t>
  </si>
  <si>
    <t>Post-event site washing</t>
  </si>
  <si>
    <r>
      <t>Rental/Purchase Surcharge</t>
    </r>
    <r>
      <rPr>
        <b/>
        <sz val="12"/>
        <color rgb="FF00B0F0"/>
        <rFont val="Gotham Book"/>
        <family val="3"/>
      </rPr>
      <t/>
    </r>
  </si>
  <si>
    <t>Post-event site cleaning</t>
  </si>
  <si>
    <t>During event site cleaning</t>
  </si>
  <si>
    <t>Main Stage &amp; Screen set-up</t>
  </si>
  <si>
    <t>Garbage Dumpster</t>
  </si>
  <si>
    <t>Additional picnic tables</t>
  </si>
  <si>
    <t>Underground Parking</t>
  </si>
  <si>
    <t>◦ Third party security and first aid</t>
  </si>
  <si>
    <t>White picket fence set up</t>
  </si>
  <si>
    <t>No HST on parking</t>
  </si>
  <si>
    <t>Barricades set up</t>
  </si>
  <si>
    <t>Administration</t>
  </si>
  <si>
    <t>Picnic table set up</t>
  </si>
  <si>
    <t>Street Parking</t>
  </si>
  <si>
    <t>Late Payment Interest</t>
  </si>
  <si>
    <t>Vendor Surcharge</t>
  </si>
  <si>
    <t>◦ Insurance payment or proof of insurance due 7 days prior to event</t>
  </si>
  <si>
    <t>◦ Balance payment* due 7 days prior to event</t>
  </si>
  <si>
    <t>◦ Final reconciliation payment due 30 days after receipt of final invoice</t>
  </si>
  <si>
    <t>Day 1 start time</t>
  </si>
  <si>
    <t>Day 1 end time</t>
  </si>
  <si>
    <t>Day 2 start time</t>
  </si>
  <si>
    <t>Day 2 end time</t>
  </si>
  <si>
    <t>Day 3 start time</t>
  </si>
  <si>
    <t>Day 3 end time</t>
  </si>
  <si>
    <t>Day 1 load-in start time</t>
  </si>
  <si>
    <t>Day 1 load-in end time</t>
  </si>
  <si>
    <t>Day 1 event start time</t>
  </si>
  <si>
    <t>Day 1 event end time</t>
  </si>
  <si>
    <t>Day 1 stage end time</t>
  </si>
  <si>
    <t>Day 1 load-out start time</t>
  </si>
  <si>
    <t xml:space="preserve">Day 1 load-out end time </t>
  </si>
  <si>
    <t>Day 2 load-in start time</t>
  </si>
  <si>
    <t>Day 2 load-in end time</t>
  </si>
  <si>
    <t>Day 2 event start time</t>
  </si>
  <si>
    <t>Day 2 stage end time</t>
  </si>
  <si>
    <t>Day 2 event end time</t>
  </si>
  <si>
    <t>Day 2 load-out start time</t>
  </si>
  <si>
    <t xml:space="preserve">Day 2 load-out end time </t>
  </si>
  <si>
    <t>Day 3 load-in start time</t>
  </si>
  <si>
    <t>Day 3 load-in end time</t>
  </si>
  <si>
    <t>Day 3 event start time</t>
  </si>
  <si>
    <t>Day 3 stage end time</t>
  </si>
  <si>
    <t>Day 3 event end time</t>
  </si>
  <si>
    <t>Day 3 load-out start time</t>
  </si>
  <si>
    <t xml:space="preserve">Day 3 load-out end time </t>
  </si>
  <si>
    <t>Day 4 load-in end time</t>
  </si>
  <si>
    <t>Day 4 event start time</t>
  </si>
  <si>
    <t>Day 4 stage end time</t>
  </si>
  <si>
    <t>Day 4 event end time</t>
  </si>
  <si>
    <t>Day 4 load-out start time</t>
  </si>
  <si>
    <t xml:space="preserve">Day 4 load-out end time </t>
  </si>
  <si>
    <t>Start time</t>
  </si>
  <si>
    <t>End time</t>
  </si>
  <si>
    <t>Commercial vendors as listed on Mobile Licensing Special Event License</t>
  </si>
  <si>
    <t>Community Groups and Affiliates have applied and been approved for formal recognition through the City's Community Group Support Program</t>
  </si>
  <si>
    <t>Total number of days onsite</t>
  </si>
  <si>
    <t>Number of food vendors</t>
  </si>
  <si>
    <t>Total number of event days</t>
  </si>
  <si>
    <t>Projected total attendance</t>
  </si>
  <si>
    <t>Projected daily attendance</t>
  </si>
  <si>
    <t>Average attendance for one event day</t>
  </si>
  <si>
    <t>Enter number of staff hours</t>
  </si>
  <si>
    <t>Enter estimated cost</t>
  </si>
  <si>
    <t>Enter number of uses</t>
  </si>
  <si>
    <t>Enter number of boxes</t>
  </si>
  <si>
    <t>Enter total number of hours</t>
  </si>
  <si>
    <t>Affiliate</t>
  </si>
  <si>
    <t>Commercial</t>
  </si>
  <si>
    <t>Enter number of additional dumpsters</t>
  </si>
  <si>
    <t>TIME Drop Down</t>
  </si>
  <si>
    <t>No</t>
  </si>
  <si>
    <t>Enter the number of hours</t>
  </si>
  <si>
    <t>Enter number of parking spots</t>
  </si>
  <si>
    <t>Day 4 load-in start time</t>
  </si>
  <si>
    <t>Enter tonnage estimate</t>
  </si>
  <si>
    <t>Insert notes</t>
  </si>
  <si>
    <t>COST</t>
  </si>
  <si>
    <t xml:space="preserve">Central Library 
Classrooms 1 - 5 </t>
  </si>
  <si>
    <t>Surcharge I $560.18/event
Surcharge II $1,120.37/event</t>
  </si>
  <si>
    <t>Enter the number of overnight occurrences</t>
  </si>
  <si>
    <t>Not-for-Profit/Charitable (NFP)</t>
  </si>
  <si>
    <t>Day 2 stage access time</t>
  </si>
  <si>
    <t>Enter Additional Units</t>
  </si>
  <si>
    <t>Garbage/Recycling Bags</t>
  </si>
  <si>
    <t>Enter number of Loads</t>
  </si>
  <si>
    <t>TIME BELOW IS FOR EARLY MORNING OF FOLLOWING DAY</t>
  </si>
  <si>
    <t>DELIVER PAYMENTS TO</t>
  </si>
  <si>
    <t>Customer Service Centre</t>
  </si>
  <si>
    <t>Central Library, ground floor</t>
  </si>
  <si>
    <t>301 Burnhamthorpe Rd. W.</t>
  </si>
  <si>
    <t>Attendance for all event days</t>
  </si>
  <si>
    <t>Day 1 stage access time</t>
  </si>
  <si>
    <t>Day 3 stage access time</t>
  </si>
  <si>
    <t>Day 4 stage access time</t>
  </si>
  <si>
    <t>(quote generated by MCS for new clients)</t>
  </si>
  <si>
    <t xml:space="preserve"> =OFFSET(Info!$AI$2,MATCH(C24,Info!$AI$2:$AI$56,0),0,COUNTIF(Info!$AI$2:$AI$56,"&gt;="&amp;C24),1)</t>
  </si>
  <si>
    <t>$47.00/hour</t>
  </si>
  <si>
    <t>$25.00/hour</t>
  </si>
  <si>
    <t>$150.00</t>
  </si>
  <si>
    <t>$26.65 /box of 100</t>
  </si>
  <si>
    <t>$1.00 spot / hour</t>
  </si>
  <si>
    <t>$5.00 /spot</t>
  </si>
  <si>
    <t>$3.00 day / spot</t>
  </si>
  <si>
    <t>$49.29/hour/staff</t>
  </si>
  <si>
    <t>$65.00/hour/staff</t>
  </si>
  <si>
    <t>$70.00/hour</t>
  </si>
  <si>
    <t>$75.00/dumpster</t>
  </si>
  <si>
    <t>$49.5.00/tonne</t>
  </si>
  <si>
    <t>Community Group</t>
  </si>
  <si>
    <t>Fields in Grey can be edited without breaking the formulas that auto-calculate the fees.</t>
  </si>
  <si>
    <t>Comments for ROW 1 indicate the logic, proposed by Sandra L.</t>
  </si>
  <si>
    <t>Do not edit or touch the cells in dark blue, as you will break the formulas</t>
  </si>
  <si>
    <t>example</t>
  </si>
  <si>
    <t>NOTES FOR COMMENTS</t>
  </si>
  <si>
    <t>Comments for grey cells and dark blue cells explain that cells logic and/or purpose</t>
  </si>
  <si>
    <t>Row 1: This row references the Fee Schedule. These cells will automatically change to whatever is written in that sheet.</t>
  </si>
  <si>
    <t>Fields in light-blue is can be edited without breaking the formulas.</t>
  </si>
  <si>
    <t>These cells are the drop-downs selections and are used in various formulas.</t>
  </si>
  <si>
    <t>ex. Room Bookings</t>
  </si>
  <si>
    <t>DO's</t>
  </si>
  <si>
    <t>LOCK this sheet and the Fee Schedule Tool worksheet.</t>
  </si>
  <si>
    <t>HIDE ALL COLUMNS CONTAINING FORMULA DATA</t>
  </si>
  <si>
    <t>ex. A:AI</t>
  </si>
  <si>
    <t>REMOVE CELLS THAT ARE MERGED ON THE "Fee Schedule Tool" worksheet</t>
  </si>
  <si>
    <t>DO NOT's</t>
  </si>
  <si>
    <t>NOTES FOR MAINTAINING THIS EXCEL TOOL</t>
  </si>
  <si>
    <t>Regular $2,296.76/day
NFP/Community group $139.48/day
Affiliate $110.54/day</t>
  </si>
  <si>
    <t>Cost as quoted</t>
  </si>
  <si>
    <r>
      <t xml:space="preserve">Cells </t>
    </r>
    <r>
      <rPr>
        <b/>
        <sz val="11"/>
        <color theme="1"/>
        <rFont val="Calibri"/>
        <family val="2"/>
        <scheme val="minor"/>
      </rPr>
      <t>FG103:FG106</t>
    </r>
    <r>
      <rPr>
        <sz val="11"/>
        <color theme="1"/>
        <rFont val="Calibri"/>
        <family val="2"/>
        <scheme val="minor"/>
      </rPr>
      <t xml:space="preserve"> - can have information inputted to adjust Fee Totals ONLY when MCS Staff Unlock the Worksheet</t>
    </r>
  </si>
  <si>
    <t>Click the View ribbon, then check-off Formula Bar and Headings in the 'Show' section to toggle and set views for final usage</t>
  </si>
  <si>
    <t>HIDE the info SHEET</t>
  </si>
  <si>
    <t>This fee schedule is a planning tool for Large Event organizers to estimate Celebration Square costs.
Final reconciled costs will be sent to organizers following their event.</t>
  </si>
  <si>
    <t>Save form to desktop and complete on computer.</t>
  </si>
  <si>
    <t>Enter event details in grey cells below for a cost estimate.</t>
  </si>
  <si>
    <t xml:space="preserve">E V E N T    D E T A I L S </t>
  </si>
  <si>
    <t>E V E N T  D A Y S</t>
  </si>
  <si>
    <t>S E T - U P / L O A D - I N  D A Y S</t>
  </si>
  <si>
    <t>Must be after load-in is complete</t>
  </si>
  <si>
    <t>C L E A N - U P / L O A D - O U T  D A Y</t>
  </si>
  <si>
    <t>N O T E S</t>
  </si>
  <si>
    <t>Set-up and load-in days are non-event days where only equipment set-up and load-in is happening. Set-up and load-in days must be included in your event application to be considered.
Daily Celebration Square food vendors may be onsite during set-up and load-in days.</t>
  </si>
  <si>
    <t>Clean-up and load-out days are non-event days where only equipment load-out and cleaning is happening. Clean-up and Load-out days must be included in your event application to be considered.</t>
  </si>
  <si>
    <t>L A R G E  E V E N T  F E E  S C H E D U L E</t>
  </si>
  <si>
    <t>B A S E  C O S T</t>
  </si>
  <si>
    <t>M A N D A T O R Y  C O S T S</t>
  </si>
  <si>
    <t>O P T I O N A L  C O S T S</t>
  </si>
  <si>
    <t>Sub-total</t>
  </si>
  <si>
    <t>T O T A L</t>
  </si>
  <si>
    <t>Tech Supervisor / Video Board Operator</t>
  </si>
  <si>
    <r>
      <t xml:space="preserve">Garbage Disposal </t>
    </r>
    <r>
      <rPr>
        <sz val="18"/>
        <color rgb="FFFF0000"/>
        <rFont val="Gotham Book"/>
        <family val="3"/>
      </rPr>
      <t>ESTIMATE</t>
    </r>
  </si>
  <si>
    <t xml:space="preserve">Regular $147.36 
Community Group $124.44
Affiliate $105.25 </t>
  </si>
  <si>
    <t xml:space="preserve">Regular $294.70 
Community Group $252.61
Affiliate $210.50 </t>
  </si>
  <si>
    <t>Commercial $31.50/hr/room
NFP $22.95/hr/room
Community Group $16.32/hr/room
Affiliate $14.28/hr/room</t>
  </si>
  <si>
    <t>Commercial $144.77/hr
NFP $105.48/hr
Community Group $86.75/hr
Affiliate $70.32/hr</t>
  </si>
  <si>
    <t>Commercial $172.53/hr
NFP $125.42/hr
Community Group $105.48/hr
Affiliate $56.26/hr</t>
  </si>
  <si>
    <t>To pay by credit card call 
905-615-4100 x3</t>
  </si>
  <si>
    <r>
      <rPr>
        <b/>
        <sz val="14"/>
        <color theme="1"/>
        <rFont val="Gotham Book"/>
        <family val="3"/>
      </rPr>
      <t xml:space="preserve">MANDATORY </t>
    </r>
    <r>
      <rPr>
        <sz val="14"/>
        <color theme="1"/>
        <rFont val="Gotham Book"/>
        <family val="3"/>
      </rPr>
      <t xml:space="preserve">from beginning of load-in to end of load-out
</t>
    </r>
    <r>
      <rPr>
        <sz val="14"/>
        <color theme="1"/>
        <rFont val="Calibri"/>
        <family val="2"/>
      </rPr>
      <t xml:space="preserve">• </t>
    </r>
    <r>
      <rPr>
        <sz val="14"/>
        <color theme="1"/>
        <rFont val="Gotham Book"/>
        <family val="3"/>
      </rPr>
      <t xml:space="preserve">1-9 vendors: 1 staff required (+ 1 Building Service Technician, line 9)
• 10-20 vendors: 2 staff required (+ 1 Building Service Technician, line 9)
• 20+ vendors: 1 staff required (+ 2 Building Service Technicians, line 9)
• 20+ vendors AND 20,000 attendees or more per day: 2 staff required (+ 2 Building Service Technicians, line 9)
• set-up/clean-up days: 1 staff required
</t>
    </r>
    <r>
      <rPr>
        <i/>
        <sz val="14"/>
        <color theme="1"/>
        <rFont val="Gotham Book"/>
        <family val="3"/>
      </rPr>
      <t>4hr min/day/staff</t>
    </r>
    <r>
      <rPr>
        <b/>
        <i/>
        <sz val="14"/>
        <color rgb="FFFF0000"/>
        <rFont val="Gotham Book"/>
        <family val="3"/>
      </rPr>
      <t xml:space="preserve">
Additional staff charges will be applied on final reconciliation to days over 12hrs; 1 hour/shift over 12 hours</t>
    </r>
  </si>
  <si>
    <r>
      <rPr>
        <b/>
        <sz val="14"/>
        <color theme="1"/>
        <rFont val="Gotham Book"/>
        <family val="3"/>
      </rPr>
      <t xml:space="preserve">MANDATORY </t>
    </r>
    <r>
      <rPr>
        <sz val="14"/>
        <color theme="1"/>
        <rFont val="Gotham Book"/>
        <family val="3"/>
      </rPr>
      <t xml:space="preserve">from beginning of stage access (including delivery of equipment and sound check) to end of show for Large Event. Hourly cost includes:
• 1 Supervisor
• 1 Video Operator
• 2 Camera Operators
• 1 Front of House Audio
• 1 Lighting Operator
• 1 Stage Crew
• 1 Monitor Engineer
</t>
    </r>
    <r>
      <rPr>
        <i/>
        <sz val="14"/>
        <color theme="1"/>
        <rFont val="Gotham Book"/>
        <family val="3"/>
      </rPr>
      <t xml:space="preserve">4hr min/day
</t>
    </r>
    <r>
      <rPr>
        <b/>
        <i/>
        <sz val="14"/>
        <color rgb="FFFF0000"/>
        <rFont val="Gotham Book"/>
        <family val="3"/>
      </rPr>
      <t>Additional staff charges will be applied to final reconciliation for multi-day events; Refer to Main Stage Fact Sheet for additional information</t>
    </r>
  </si>
  <si>
    <r>
      <rPr>
        <b/>
        <sz val="14"/>
        <color theme="1"/>
        <rFont val="Gotham Book"/>
        <family val="3"/>
      </rPr>
      <t xml:space="preserve">MANDATORY </t>
    </r>
    <r>
      <rPr>
        <sz val="14"/>
        <color theme="1"/>
        <rFont val="Gotham Book"/>
        <family val="3"/>
      </rPr>
      <t xml:space="preserve">from beginning of load-in to end of load-out
• 0-19 vendors: 1 staff (+1 Mississauga Celebration Events Assistant)
• 20+ vendors: 2 staff (+1 Mississauga Celebration Events Assistant)
</t>
    </r>
    <r>
      <rPr>
        <i/>
        <sz val="14"/>
        <color theme="1"/>
        <rFont val="Gotham Book"/>
        <family val="3"/>
      </rPr>
      <t>4hr min/day/staff</t>
    </r>
  </si>
  <si>
    <r>
      <rPr>
        <b/>
        <sz val="14"/>
        <color theme="1"/>
        <rFont val="Gotham Book"/>
        <family val="3"/>
      </rPr>
      <t xml:space="preserve">MANDATORY </t>
    </r>
    <r>
      <rPr>
        <sz val="14"/>
        <color theme="1"/>
        <rFont val="Gotham Book"/>
        <family val="3"/>
      </rPr>
      <t xml:space="preserve">
2 staff from event start to one hour past event end to clean indoor areas (Library, Civic Centre, Upper Square washrooms)</t>
    </r>
  </si>
  <si>
    <r>
      <rPr>
        <b/>
        <sz val="14"/>
        <color theme="1"/>
        <rFont val="Gotham Book"/>
        <family val="3"/>
      </rPr>
      <t>MANDATORY</t>
    </r>
    <r>
      <rPr>
        <sz val="14"/>
        <color theme="1"/>
        <rFont val="Gotham Book"/>
        <family val="3"/>
      </rPr>
      <t xml:space="preserve"> post event/daily
Litter picking &amp; garbage/recycling can emptying
• Up to 4,999 attendees and up to 5 food vendors = light
• 5,000+ attendees and 6 or more food vendors = heavy</t>
    </r>
    <r>
      <rPr>
        <b/>
        <sz val="14"/>
        <color theme="1"/>
        <rFont val="Gotham Book"/>
        <family val="3"/>
      </rPr>
      <t xml:space="preserve">
</t>
    </r>
    <r>
      <rPr>
        <i/>
        <sz val="14"/>
        <color theme="1"/>
        <rFont val="Gotham Book"/>
        <family val="3"/>
      </rPr>
      <t>Direct cost from third party provider</t>
    </r>
  </si>
  <si>
    <r>
      <rPr>
        <b/>
        <sz val="14"/>
        <color theme="1"/>
        <rFont val="Gotham Book"/>
        <family val="3"/>
      </rPr>
      <t xml:space="preserve">MANDATORY </t>
    </r>
    <r>
      <rPr>
        <sz val="14"/>
        <color theme="1"/>
        <rFont val="Gotham Book"/>
        <family val="3"/>
      </rPr>
      <t>for delivery and pick-up</t>
    </r>
    <r>
      <rPr>
        <b/>
        <sz val="14"/>
        <color theme="1"/>
        <rFont val="Gotham Book"/>
        <family val="3"/>
      </rPr>
      <t xml:space="preserve">
</t>
    </r>
    <r>
      <rPr>
        <sz val="14"/>
        <color theme="1"/>
        <rFont val="Gotham Book"/>
        <family val="3"/>
      </rPr>
      <t xml:space="preserve">• minimum 1 dumpster/event day
• 2 dumpsters required  for 15,000 attendees or more in 1 day
</t>
    </r>
    <r>
      <rPr>
        <i/>
        <sz val="14"/>
        <color theme="1"/>
        <rFont val="Gotham Book"/>
        <family val="3"/>
      </rPr>
      <t>Direct cost from third party provider</t>
    </r>
  </si>
  <si>
    <r>
      <rPr>
        <b/>
        <sz val="14"/>
        <color theme="1"/>
        <rFont val="Gotham Book"/>
        <family val="3"/>
      </rPr>
      <t xml:space="preserve">MANDATORY
</t>
    </r>
    <r>
      <rPr>
        <sz val="14"/>
        <color theme="1"/>
        <rFont val="Gotham Book"/>
        <family val="3"/>
      </rPr>
      <t xml:space="preserve">Invoice not available until 30-45 days post-event: organizers can opt to either pay tonnage cost from previous year and outstanding balance will be left on account until following year or reconcile tonnage cost after final event reconciliation
</t>
    </r>
    <r>
      <rPr>
        <i/>
        <sz val="14"/>
        <color theme="1"/>
        <rFont val="Gotham Book"/>
        <family val="3"/>
      </rPr>
      <t>Direct cost from third party provider</t>
    </r>
  </si>
  <si>
    <r>
      <rPr>
        <b/>
        <sz val="14"/>
        <color theme="1"/>
        <rFont val="Gotham Book"/>
        <family val="3"/>
      </rPr>
      <t>MANDATORY</t>
    </r>
    <r>
      <rPr>
        <sz val="14"/>
        <color theme="1"/>
        <rFont val="Gotham Book"/>
        <family val="3"/>
      </rPr>
      <t xml:space="preserve"> permit required for each day onsite including any set-up and clean-up days</t>
    </r>
  </si>
  <si>
    <r>
      <rPr>
        <b/>
        <sz val="14"/>
        <color theme="1"/>
        <rFont val="Gotham Book"/>
        <family val="3"/>
      </rPr>
      <t xml:space="preserve">MANDATORY </t>
    </r>
    <r>
      <rPr>
        <sz val="14"/>
        <color theme="1"/>
        <rFont val="Gotham Book"/>
        <family val="3"/>
      </rPr>
      <t xml:space="preserve">surcharge I for 15-30 commercial vendors as listed on Mobile Licensing Special Event License
</t>
    </r>
    <r>
      <rPr>
        <i/>
        <sz val="14"/>
        <color theme="1"/>
        <rFont val="Gotham Book"/>
        <family val="3"/>
      </rPr>
      <t>no charge for less than 15 vendors</t>
    </r>
  </si>
  <si>
    <r>
      <rPr>
        <b/>
        <sz val="14"/>
        <color theme="1"/>
        <rFont val="Gotham Book"/>
        <family val="3"/>
      </rPr>
      <t>MANDATORY</t>
    </r>
    <r>
      <rPr>
        <sz val="14"/>
        <color theme="1"/>
        <rFont val="Gotham Book"/>
        <family val="3"/>
      </rPr>
      <t xml:space="preserve"> surcharge II for 31+ commercial vendors as listed on Mobile Licensing Special Event License</t>
    </r>
  </si>
  <si>
    <r>
      <rPr>
        <b/>
        <sz val="14"/>
        <rFont val="Gotham Book"/>
        <family val="3"/>
      </rPr>
      <t xml:space="preserve">MANDATORY </t>
    </r>
    <r>
      <rPr>
        <sz val="14"/>
        <rFont val="Gotham Book"/>
        <family val="3"/>
      </rPr>
      <t>for use of main stage for Large Event
Includes set up and tear down of main stage, rental of two cameras, screen content previewing, set up and scheduling</t>
    </r>
  </si>
  <si>
    <r>
      <rPr>
        <b/>
        <sz val="14"/>
        <color theme="1"/>
        <rFont val="Gotham Book"/>
        <family val="3"/>
      </rPr>
      <t>MANDATORY</t>
    </r>
    <r>
      <rPr>
        <sz val="14"/>
        <color theme="1"/>
        <rFont val="Gotham Book"/>
        <family val="3"/>
      </rPr>
      <t xml:space="preserve"> post-event scrubbing of concrete &amp; washing of turf for up to 8hrs
</t>
    </r>
    <r>
      <rPr>
        <i/>
        <sz val="14"/>
        <color theme="1"/>
        <rFont val="Gotham Book"/>
        <family val="3"/>
      </rPr>
      <t>Additional charge added per day of cleaning required</t>
    </r>
  </si>
  <si>
    <r>
      <rPr>
        <b/>
        <sz val="14"/>
        <color theme="1"/>
        <rFont val="Gotham Book"/>
        <family val="3"/>
      </rPr>
      <t xml:space="preserve">MANDATORY </t>
    </r>
    <r>
      <rPr>
        <sz val="14"/>
        <color theme="1"/>
        <rFont val="Gotham Book"/>
        <family val="3"/>
      </rPr>
      <t>for health and safety reasons; can only be moved by City staff</t>
    </r>
  </si>
  <si>
    <r>
      <rPr>
        <b/>
        <sz val="14"/>
        <color theme="1"/>
        <rFont val="Gotham Book"/>
        <family val="3"/>
      </rPr>
      <t xml:space="preserve">OPTIONAL
</t>
    </r>
    <r>
      <rPr>
        <sz val="14"/>
        <color theme="1"/>
        <rFont val="Gotham Book"/>
        <family val="3"/>
      </rPr>
      <t xml:space="preserve">As quoted for use of Amphitheatre, Noel Ryan Auditorium, second stage or special main stage requirements
</t>
    </r>
    <r>
      <rPr>
        <i/>
        <sz val="14"/>
        <color theme="1"/>
        <rFont val="Gotham Book"/>
        <family val="3"/>
      </rPr>
      <t>4hr min/day/staff</t>
    </r>
  </si>
  <si>
    <r>
      <t xml:space="preserve">OPTIONAL
</t>
    </r>
    <r>
      <rPr>
        <sz val="14"/>
        <color theme="1"/>
        <rFont val="Gotham Book"/>
        <family val="3"/>
      </rPr>
      <t xml:space="preserve">As quoted for use of Amphitheatre, Noel Ryan Auditorium, second stage or special main stage requirements
</t>
    </r>
    <r>
      <rPr>
        <i/>
        <sz val="14"/>
        <color theme="1"/>
        <rFont val="Gotham Book"/>
        <family val="3"/>
      </rPr>
      <t>4hr min/day/staff</t>
    </r>
  </si>
  <si>
    <r>
      <rPr>
        <b/>
        <sz val="14"/>
        <color theme="1"/>
        <rFont val="Gotham Book"/>
        <family val="3"/>
      </rPr>
      <t>OPTIONAL</t>
    </r>
    <r>
      <rPr>
        <sz val="14"/>
        <color theme="1"/>
        <rFont val="Gotham Book"/>
        <family val="3"/>
      </rPr>
      <t xml:space="preserve">
Required if show recording desired</t>
    </r>
  </si>
  <si>
    <r>
      <t xml:space="preserve">OPTIONAL
</t>
    </r>
    <r>
      <rPr>
        <sz val="14"/>
        <color theme="1"/>
        <rFont val="Gotham Book"/>
        <family val="3"/>
      </rPr>
      <t>For additional requested stage equipment</t>
    </r>
  </si>
  <si>
    <r>
      <t xml:space="preserve">OPTIONAL
</t>
    </r>
    <r>
      <rPr>
        <sz val="14"/>
        <color theme="1"/>
        <rFont val="Gotham Book"/>
        <family val="3"/>
      </rPr>
      <t>Required if volunteers approved for litter picking</t>
    </r>
  </si>
  <si>
    <r>
      <t xml:space="preserve">OPTIONAL </t>
    </r>
    <r>
      <rPr>
        <sz val="14"/>
        <color theme="1"/>
        <rFont val="Gotham Book"/>
        <family val="3"/>
      </rPr>
      <t xml:space="preserve">charge applied if set-up by City staff is requested; no charge if moved by event organizer.
</t>
    </r>
    <r>
      <rPr>
        <i/>
        <sz val="14"/>
        <color theme="1"/>
        <rFont val="Gotham Book"/>
        <family val="3"/>
      </rPr>
      <t>Crowd control barricades: 100 pieces, 7'x44"</t>
    </r>
  </si>
  <si>
    <r>
      <rPr>
        <b/>
        <sz val="14"/>
        <color theme="1"/>
        <rFont val="Gotham Book"/>
        <family val="3"/>
      </rPr>
      <t>OPTIONAL</t>
    </r>
    <r>
      <rPr>
        <sz val="14"/>
        <color theme="1"/>
        <rFont val="Gotham Book"/>
        <family val="3"/>
      </rPr>
      <t xml:space="preserve">
For health and safety reasons, can only be moved by City staff
</t>
    </r>
    <r>
      <rPr>
        <i/>
        <sz val="14"/>
        <color theme="1"/>
        <rFont val="Gotham Book"/>
        <family val="3"/>
      </rPr>
      <t>Crowd control white fence: 40 pieces, 6'x42"</t>
    </r>
  </si>
  <si>
    <r>
      <t xml:space="preserve">OPTIONAL
</t>
    </r>
    <r>
      <rPr>
        <sz val="14"/>
        <color theme="1"/>
        <rFont val="Gotham Book"/>
        <family val="3"/>
      </rPr>
      <t>All days except holidays</t>
    </r>
    <r>
      <rPr>
        <b/>
        <sz val="14"/>
        <color theme="1"/>
        <rFont val="Gotham Book"/>
        <family val="3"/>
      </rPr>
      <t xml:space="preserve">
</t>
    </r>
    <r>
      <rPr>
        <i/>
        <sz val="14"/>
        <color theme="1"/>
        <rFont val="Gotham Book"/>
        <family val="3"/>
      </rPr>
      <t>3 hour minimum, hourly rate applicable up to 8 hours/day</t>
    </r>
  </si>
  <si>
    <r>
      <t xml:space="preserve">OPTIONAL
</t>
    </r>
    <r>
      <rPr>
        <sz val="14"/>
        <color theme="1"/>
        <rFont val="Gotham Book"/>
        <family val="3"/>
      </rPr>
      <t>Holidays only</t>
    </r>
    <r>
      <rPr>
        <b/>
        <sz val="14"/>
        <color theme="1"/>
        <rFont val="Gotham Book"/>
        <family val="3"/>
      </rPr>
      <t xml:space="preserve">
</t>
    </r>
    <r>
      <rPr>
        <i/>
        <sz val="14"/>
        <color theme="1"/>
        <rFont val="Gotham Book"/>
        <family val="3"/>
      </rPr>
      <t>3 hour minimum, hourly rate applicable up to 8 hours/day</t>
    </r>
  </si>
  <si>
    <r>
      <t xml:space="preserve">OPTIONAL
</t>
    </r>
    <r>
      <rPr>
        <sz val="14"/>
        <color theme="1"/>
        <rFont val="Gotham Book"/>
        <family val="3"/>
      </rPr>
      <t>Monday-Friday</t>
    </r>
    <r>
      <rPr>
        <b/>
        <sz val="14"/>
        <color theme="1"/>
        <rFont val="Gotham Book"/>
        <family val="3"/>
      </rPr>
      <t xml:space="preserve">
</t>
    </r>
    <r>
      <rPr>
        <i/>
        <sz val="14"/>
        <color theme="1"/>
        <rFont val="Gotham Book"/>
        <family val="3"/>
      </rPr>
      <t>3 hour minimum, may require additional tech staff support</t>
    </r>
  </si>
  <si>
    <r>
      <t xml:space="preserve">OPTIONAL
</t>
    </r>
    <r>
      <rPr>
        <sz val="14"/>
        <color theme="1"/>
        <rFont val="Gotham Book"/>
        <family val="3"/>
      </rPr>
      <t>Holidays and weekends</t>
    </r>
    <r>
      <rPr>
        <b/>
        <sz val="14"/>
        <color theme="1"/>
        <rFont val="Gotham Book"/>
        <family val="3"/>
      </rPr>
      <t xml:space="preserve">
</t>
    </r>
    <r>
      <rPr>
        <i/>
        <sz val="14"/>
        <color theme="1"/>
        <rFont val="Gotham Book"/>
        <family val="3"/>
      </rPr>
      <t>3 hour minimum, may require additional tech staff support</t>
    </r>
  </si>
  <si>
    <r>
      <rPr>
        <b/>
        <sz val="14"/>
        <color theme="1"/>
        <rFont val="Gotham Book"/>
        <family val="3"/>
      </rPr>
      <t>OPTIONAL</t>
    </r>
    <r>
      <rPr>
        <sz val="14"/>
        <color theme="1"/>
        <rFont val="Gotham Book"/>
        <family val="3"/>
      </rPr>
      <t xml:space="preserve">
Litter picking &amp; garbage/recycling can emptying
Required if onsite waste management not provided by group and approved by MCS; recommended from 2 hrs after event start until end of event
• Up to 4,999 attendees and up to 5 food vendors = light
• 5,000+ attendees and 6 or more food vendors = heavy
</t>
    </r>
    <r>
      <rPr>
        <i/>
        <sz val="14"/>
        <color theme="1"/>
        <rFont val="Gotham Book"/>
        <family val="3"/>
      </rPr>
      <t>Direct cost from third party provider</t>
    </r>
  </si>
  <si>
    <r>
      <rPr>
        <b/>
        <sz val="14"/>
        <color theme="1"/>
        <rFont val="Gotham Book"/>
        <family val="3"/>
      </rPr>
      <t xml:space="preserve">OPTIONAL </t>
    </r>
    <r>
      <rPr>
        <sz val="14"/>
        <color theme="1"/>
        <rFont val="Gotham Book"/>
        <family val="3"/>
      </rPr>
      <t xml:space="preserve">daytime rate
Monday-Friday 8am-6pm, Saturday-Sunday 10am-6pm
</t>
    </r>
    <r>
      <rPr>
        <i/>
        <sz val="14"/>
        <color theme="1"/>
        <rFont val="Gotham Book"/>
        <family val="3"/>
      </rPr>
      <t>Up to 15 spots on Burnhamthorpe can be coned off and will not be ticketed, but spots cannot be guaranteed</t>
    </r>
  </si>
  <si>
    <r>
      <rPr>
        <b/>
        <sz val="14"/>
        <color theme="1"/>
        <rFont val="Gotham Book"/>
        <family val="3"/>
      </rPr>
      <t xml:space="preserve">OPTIONAL </t>
    </r>
    <r>
      <rPr>
        <sz val="14"/>
        <color theme="1"/>
        <rFont val="Gotham Book"/>
        <family val="3"/>
      </rPr>
      <t xml:space="preserve">overnight rate
Monday-Thursday 6pm-8am, Friday-Saturday and Saturday-Sunday 6pm-10am
</t>
    </r>
    <r>
      <rPr>
        <i/>
        <sz val="14"/>
        <color theme="1"/>
        <rFont val="Gotham Book"/>
        <family val="3"/>
      </rPr>
      <t>Up to 15 spots on Burnhamthorpe can be coned off and will not be ticketed, but spots cannot be guaranteed</t>
    </r>
  </si>
  <si>
    <r>
      <rPr>
        <b/>
        <sz val="14"/>
        <color theme="1"/>
        <rFont val="Gotham Book"/>
        <family val="3"/>
      </rPr>
      <t>OPTIONAL</t>
    </r>
    <r>
      <rPr>
        <sz val="14"/>
        <color theme="1"/>
        <rFont val="Gotham Book"/>
        <family val="3"/>
      </rPr>
      <t xml:space="preserve"> for weekday parking
Free on evenings after 6:00pm and on weekends</t>
    </r>
  </si>
  <si>
    <t>Commercial $41.90/hr/room
NFP $30.52/hr/room
Community Group $21.71/hr/room
Affiliate $18.99/hr/room</t>
  </si>
  <si>
    <r>
      <t xml:space="preserve">OPTIONAL
</t>
    </r>
    <r>
      <rPr>
        <sz val="14"/>
        <color theme="1"/>
        <rFont val="Gotham Book"/>
        <family val="3"/>
      </rPr>
      <t xml:space="preserve">For delivery of additional loads of picnic tables
</t>
    </r>
    <r>
      <rPr>
        <i/>
        <sz val="14"/>
        <color theme="1"/>
        <rFont val="Gotham Book"/>
        <family val="3"/>
      </rPr>
      <t>9 / load</t>
    </r>
  </si>
  <si>
    <t>◦ All other external consultation and sevices</t>
  </si>
  <si>
    <t>* Balance payments made less than 14 days prior to event must be made by debit, credit card, certified cheque or money order</t>
  </si>
  <si>
    <t>Tech Support</t>
  </si>
  <si>
    <r>
      <t xml:space="preserve">OPTIONAL
</t>
    </r>
    <r>
      <rPr>
        <sz val="14"/>
        <color theme="1"/>
        <rFont val="Gotham Book"/>
        <family val="3"/>
      </rPr>
      <t xml:space="preserve">Charge applied if set-up by City staff is requested; no charge if moved by event organizer
</t>
    </r>
    <r>
      <rPr>
        <i/>
        <sz val="14"/>
        <color theme="1"/>
        <rFont val="Gotham Book"/>
        <family val="3"/>
      </rPr>
      <t xml:space="preserve">0 pieces </t>
    </r>
  </si>
  <si>
    <t>Include all vendors who are serving food or drinks whether they are commercial or are giving away for free</t>
  </si>
  <si>
    <t>Include all vendors; display, commercial, sponsors, activations, games, inflatables</t>
  </si>
  <si>
    <t>Stage access time includes delivery of equipment to the stage</t>
  </si>
  <si>
    <t>$244.00/hour</t>
  </si>
  <si>
    <t>Light: $640.00/day
Heavy: $960.00/day</t>
  </si>
  <si>
    <t>Light: $160.00/hour
Heavy: $240.00/hour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</si>
</sst>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400]h:mm:ss\ AM/PM"/>
    <numFmt numFmtId="165" formatCode="&quot;$&quot;#,##0.00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Gotham Book"/>
      <family val="3"/>
    </font>
    <font>
      <sz val="12"/>
      <color rgb="FFFF0000"/>
      <name val="Gotham Book"/>
      <family val="3"/>
    </font>
    <font>
      <sz val="12"/>
      <color theme="1"/>
      <name val="Gotham Book"/>
      <family val="3"/>
    </font>
    <font>
      <b/>
      <sz val="12"/>
      <color rgb="FF00B0F0"/>
      <name val="Gotham Book"/>
      <family val="3"/>
    </font>
    <font>
      <b/>
      <sz val="14"/>
      <color theme="0"/>
      <name val="Gotham Book"/>
      <family val="3"/>
    </font>
    <font>
      <sz val="10"/>
      <color theme="1"/>
      <name val="Gotham Book"/>
      <family val="3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Gotham Book"/>
      <family val="3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rgb="FFFF0000"/>
      <name val="Gotham Medium"/>
      <family val="3"/>
    </font>
    <font>
      <sz val="22"/>
      <color rgb="FFFF0000"/>
      <name val="Gotham Medium"/>
      <family val="3"/>
    </font>
    <font>
      <sz val="24"/>
      <color theme="1"/>
      <name val="Gotham Book"/>
      <family val="3"/>
    </font>
    <font>
      <b/>
      <sz val="24"/>
      <color theme="0"/>
      <name val="Gotham Book"/>
      <family val="3"/>
    </font>
    <font>
      <sz val="18"/>
      <color theme="1"/>
      <name val="Gotham Book"/>
      <family val="3"/>
    </font>
    <font>
      <sz val="18"/>
      <color rgb="FFFF0000"/>
      <name val="Gotham Book"/>
      <family val="3"/>
    </font>
    <font>
      <b/>
      <sz val="10"/>
      <color theme="0"/>
      <name val="Gotham Book"/>
      <family val="3"/>
    </font>
    <font>
      <sz val="10"/>
      <color rgb="FFFF0000"/>
      <name val="Gotham Book"/>
      <family val="3"/>
    </font>
    <font>
      <sz val="16"/>
      <color theme="1"/>
      <name val="Gotham Book"/>
      <family val="3"/>
    </font>
    <font>
      <b/>
      <sz val="14"/>
      <color theme="1"/>
      <name val="Gotham Book"/>
      <family val="3"/>
    </font>
    <font>
      <sz val="14"/>
      <name val="Gotham Book"/>
      <family val="3"/>
    </font>
    <font>
      <sz val="22"/>
      <color theme="1"/>
      <name val="Gotham Book"/>
      <family val="3"/>
    </font>
    <font>
      <b/>
      <sz val="17"/>
      <color theme="0"/>
      <name val="Gotham Book"/>
      <family val="3"/>
    </font>
    <font>
      <b/>
      <i/>
      <sz val="17"/>
      <color theme="1" tint="0.499984740745262"/>
      <name val="Gotham Book"/>
      <family val="3"/>
    </font>
    <font>
      <sz val="17"/>
      <color theme="1"/>
      <name val="Gotham Book"/>
      <family val="3"/>
    </font>
    <font>
      <sz val="17"/>
      <color rgb="FFFF0000"/>
      <name val="Gotham Book"/>
      <family val="3"/>
    </font>
    <font>
      <b/>
      <sz val="17"/>
      <color theme="1"/>
      <name val="Gotham Book"/>
      <family val="3"/>
    </font>
    <font>
      <sz val="17"/>
      <color theme="10"/>
      <name val="Gotham Book"/>
      <family val="3"/>
    </font>
    <font>
      <sz val="17"/>
      <color theme="1" tint="0.14999847407452621"/>
      <name val="Gotham Book"/>
      <family val="3"/>
    </font>
    <font>
      <sz val="17"/>
      <name val="Gotham Book"/>
      <family val="3"/>
    </font>
    <font>
      <b/>
      <sz val="17"/>
      <color rgb="FFFF0000"/>
      <name val="Gotham Book"/>
      <family val="3"/>
    </font>
    <font>
      <sz val="12"/>
      <color rgb="FFFF0000"/>
      <name val="Gotham Medium"/>
      <family val="3"/>
    </font>
    <font>
      <b/>
      <sz val="12"/>
      <color rgb="FFFF0000"/>
      <name val="Gotham Book"/>
      <family val="3"/>
    </font>
    <font>
      <sz val="22"/>
      <name val="Gotham Medium"/>
      <family val="3"/>
    </font>
    <font>
      <sz val="12"/>
      <name val="Gotham Medium"/>
      <family val="3"/>
    </font>
    <font>
      <sz val="50"/>
      <color theme="0"/>
      <name val="Gotham Book"/>
      <family val="3"/>
    </font>
    <font>
      <b/>
      <sz val="50"/>
      <color theme="0"/>
      <name val="Gotham Book"/>
      <family val="3"/>
    </font>
    <font>
      <sz val="24"/>
      <color rgb="FFFF0000"/>
      <name val="Gotham Narrow Medium"/>
      <family val="3"/>
    </font>
    <font>
      <i/>
      <sz val="24"/>
      <color theme="0"/>
      <name val="Gotham Medium"/>
      <family val="3"/>
    </font>
    <font>
      <b/>
      <i/>
      <sz val="24"/>
      <color theme="0"/>
      <name val="Gotham Book"/>
      <family val="3"/>
    </font>
    <font>
      <b/>
      <i/>
      <sz val="24"/>
      <color theme="1"/>
      <name val="Gotham Book"/>
      <family val="3"/>
    </font>
    <font>
      <b/>
      <sz val="24"/>
      <color theme="1"/>
      <name val="Gotham Book"/>
      <family val="3"/>
    </font>
    <font>
      <b/>
      <sz val="28"/>
      <color theme="0"/>
      <name val="Gotham Medium"/>
      <family val="3"/>
    </font>
    <font>
      <b/>
      <i/>
      <sz val="28"/>
      <color theme="0"/>
      <name val="Gotham Medium"/>
      <family val="3"/>
    </font>
    <font>
      <b/>
      <sz val="28"/>
      <color theme="1"/>
      <name val="Gotham Book"/>
      <family val="3"/>
    </font>
    <font>
      <sz val="16"/>
      <color rgb="FF000000"/>
      <name val="Gotham Book"/>
      <family val="3"/>
    </font>
    <font>
      <sz val="14"/>
      <color theme="1"/>
      <name val="Calibri"/>
      <family val="2"/>
    </font>
    <font>
      <i/>
      <sz val="14"/>
      <color theme="1"/>
      <name val="Gotham Book"/>
      <family val="3"/>
    </font>
    <font>
      <b/>
      <i/>
      <sz val="14"/>
      <color rgb="FFFF0000"/>
      <name val="Gotham Book"/>
      <family val="3"/>
    </font>
    <font>
      <sz val="14"/>
      <color theme="1" tint="0.34998626667073579"/>
      <name val="Gotham Book"/>
      <family val="3"/>
    </font>
    <font>
      <b/>
      <sz val="14"/>
      <name val="Gotham Book"/>
      <family val="3"/>
    </font>
    <font>
      <sz val="13"/>
      <color theme="1"/>
      <name val="Gotham Book"/>
      <family val="3"/>
    </font>
    <font>
      <b/>
      <sz val="14"/>
      <color theme="1"/>
      <name val="Gotham Medium"/>
      <family val="3"/>
    </font>
    <font>
      <sz val="16"/>
      <color indexed="81"/>
      <name val="Franklin Gothic Book"/>
      <family val="2"/>
    </font>
    <font>
      <sz val="28"/>
      <color theme="0"/>
      <name val="Gotham Medium"/>
      <family val="3"/>
    </font>
    <font>
      <sz val="16"/>
      <color theme="0"/>
      <name val="Gotham Book"/>
      <family val="3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2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/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textRotation="90" wrapText="1"/>
    </xf>
    <xf numFmtId="0" fontId="4" fillId="0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3" fillId="0" borderId="0" xfId="0" applyFont="1" applyAlignment="1" applyProtection="1">
      <alignment horizontal="center" wrapText="1"/>
    </xf>
    <xf numFmtId="0" fontId="0" fillId="0" borderId="0" xfId="0" applyProtection="1"/>
    <xf numFmtId="20" fontId="0" fillId="0" borderId="0" xfId="0" applyNumberFormat="1" applyAlignment="1" applyProtection="1">
      <alignment horizontal="center"/>
    </xf>
    <xf numFmtId="0" fontId="0" fillId="0" borderId="0" xfId="0" applyFill="1" applyProtection="1"/>
    <xf numFmtId="0" fontId="0" fillId="0" borderId="0" xfId="0" quotePrefix="1" applyProtection="1"/>
    <xf numFmtId="0" fontId="14" fillId="0" borderId="0" xfId="0" applyFont="1" applyFill="1" applyAlignment="1" applyProtection="1">
      <alignment wrapText="1"/>
    </xf>
    <xf numFmtId="16" fontId="0" fillId="0" borderId="0" xfId="0" applyNumberFormat="1" applyProtection="1"/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vertical="top" wrapText="1"/>
    </xf>
    <xf numFmtId="44" fontId="0" fillId="0" borderId="0" xfId="0" applyNumberFormat="1" applyProtection="1"/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3" borderId="0" xfId="0" applyFill="1" applyAlignment="1" applyProtection="1">
      <alignment horizontal="center"/>
    </xf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4" fontId="0" fillId="5" borderId="0" xfId="1" applyFont="1" applyFill="1" applyProtection="1"/>
    <xf numFmtId="0" fontId="0" fillId="5" borderId="0" xfId="0" applyFill="1" applyProtection="1"/>
    <xf numFmtId="8" fontId="0" fillId="5" borderId="0" xfId="0" applyNumberFormat="1" applyFill="1" applyProtection="1"/>
    <xf numFmtId="9" fontId="0" fillId="5" borderId="0" xfId="4" applyFont="1" applyFill="1" applyProtection="1"/>
    <xf numFmtId="0" fontId="18" fillId="4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</xf>
    <xf numFmtId="10" fontId="0" fillId="5" borderId="0" xfId="4" applyNumberFormat="1" applyFont="1" applyFill="1" applyProtection="1"/>
    <xf numFmtId="0" fontId="0" fillId="0" borderId="0" xfId="0" applyAlignment="1" applyProtection="1">
      <alignment horizontal="left" indent="1"/>
    </xf>
    <xf numFmtId="2" fontId="0" fillId="7" borderId="0" xfId="0" applyNumberFormat="1" applyFill="1" applyProtection="1"/>
    <xf numFmtId="2" fontId="8" fillId="7" borderId="4" xfId="0" applyNumberFormat="1" applyFont="1" applyFill="1" applyBorder="1" applyProtection="1"/>
    <xf numFmtId="2" fontId="0" fillId="7" borderId="0" xfId="0" quotePrefix="1" applyNumberFormat="1" applyFill="1" applyProtection="1"/>
    <xf numFmtId="0" fontId="0" fillId="7" borderId="0" xfId="0" applyFill="1" applyAlignment="1" applyProtection="1">
      <alignment horizontal="right"/>
    </xf>
    <xf numFmtId="0" fontId="16" fillId="6" borderId="0" xfId="0" applyFont="1" applyFill="1" applyProtection="1"/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0" fontId="19" fillId="6" borderId="0" xfId="0" applyFont="1" applyFill="1" applyAlignment="1" applyProtection="1">
      <alignment horizontal="center" vertical="center" wrapText="1"/>
    </xf>
    <xf numFmtId="0" fontId="15" fillId="6" borderId="0" xfId="0" applyFont="1" applyFill="1" applyAlignment="1" applyProtection="1">
      <alignment horizontal="center" vertical="center" wrapText="1"/>
    </xf>
    <xf numFmtId="0" fontId="20" fillId="6" borderId="0" xfId="0" applyFont="1" applyFill="1" applyAlignment="1" applyProtection="1">
      <alignment horizontal="center" vertical="top" wrapText="1"/>
    </xf>
    <xf numFmtId="0" fontId="0" fillId="0" borderId="0" xfId="0" applyAlignment="1" applyProtection="1">
      <alignment horizontal="left" indent="2"/>
    </xf>
    <xf numFmtId="0" fontId="0" fillId="8" borderId="0" xfId="0" applyFill="1" applyProtection="1"/>
    <xf numFmtId="0" fontId="8" fillId="0" borderId="0" xfId="0" applyFont="1" applyAlignment="1" applyProtection="1">
      <alignment horizontal="left" indent="1"/>
    </xf>
    <xf numFmtId="0" fontId="8" fillId="3" borderId="0" xfId="0" applyFont="1" applyFill="1" applyProtection="1"/>
    <xf numFmtId="0" fontId="0" fillId="0" borderId="0" xfId="0" applyProtection="1">
      <protection hidden="1"/>
    </xf>
    <xf numFmtId="43" fontId="4" fillId="0" borderId="0" xfId="3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textRotation="90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90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 textRotation="90" wrapText="1"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37" fillId="0" borderId="7" xfId="0" applyFont="1" applyFill="1" applyBorder="1" applyAlignment="1">
      <alignment vertical="center" wrapText="1"/>
    </xf>
    <xf numFmtId="0" fontId="35" fillId="5" borderId="7" xfId="0" applyFont="1" applyFill="1" applyBorder="1" applyAlignment="1" applyProtection="1">
      <alignment horizontal="center" vertical="center" wrapText="1"/>
      <protection locked="0"/>
    </xf>
    <xf numFmtId="0" fontId="38" fillId="0" borderId="0" xfId="2" applyFont="1" applyFill="1" applyBorder="1" applyAlignment="1" applyProtection="1">
      <alignment horizontal="left" vertical="center"/>
    </xf>
    <xf numFmtId="0" fontId="35" fillId="5" borderId="7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7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>
      <alignment vertical="top" wrapText="1"/>
    </xf>
    <xf numFmtId="0" fontId="35" fillId="0" borderId="7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vertical="center"/>
    </xf>
    <xf numFmtId="164" fontId="40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left" vertical="center" wrapText="1" indent="1"/>
    </xf>
    <xf numFmtId="0" fontId="37" fillId="0" borderId="7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left" vertical="center" wrapText="1"/>
    </xf>
    <xf numFmtId="0" fontId="35" fillId="0" borderId="0" xfId="0" applyFont="1" applyBorder="1"/>
    <xf numFmtId="0" fontId="36" fillId="0" borderId="0" xfId="0" applyFont="1" applyBorder="1" applyAlignment="1">
      <alignment vertical="center"/>
    </xf>
    <xf numFmtId="164" fontId="36" fillId="0" borderId="0" xfId="0" applyNumberFormat="1" applyFont="1" applyBorder="1" applyAlignment="1">
      <alignment vertical="center"/>
    </xf>
    <xf numFmtId="164" fontId="40" fillId="0" borderId="0" xfId="0" applyNumberFormat="1" applyFont="1" applyFill="1" applyBorder="1" applyAlignment="1" applyProtection="1">
      <alignment horizontal="left" vertical="top" wrapText="1"/>
      <protection locked="0"/>
    </xf>
    <xf numFmtId="0" fontId="37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37" fillId="0" borderId="0" xfId="0" applyFont="1"/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left" vertical="center" wrapText="1"/>
    </xf>
    <xf numFmtId="0" fontId="24" fillId="2" borderId="34" xfId="0" applyFont="1" applyFill="1" applyBorder="1" applyAlignment="1">
      <alignment horizontal="left" vertical="center" wrapText="1"/>
    </xf>
    <xf numFmtId="0" fontId="50" fillId="2" borderId="23" xfId="0" applyFont="1" applyFill="1" applyBorder="1" applyAlignment="1">
      <alignment horizontal="left" vertical="center" wrapText="1"/>
    </xf>
    <xf numFmtId="49" fontId="50" fillId="2" borderId="23" xfId="1" applyNumberFormat="1" applyFont="1" applyFill="1" applyBorder="1" applyAlignment="1">
      <alignment horizontal="center" vertical="center"/>
    </xf>
    <xf numFmtId="44" fontId="49" fillId="0" borderId="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24" fillId="2" borderId="40" xfId="0" applyFont="1" applyFill="1" applyBorder="1" applyAlignment="1">
      <alignment horizontal="left" vertical="center"/>
    </xf>
    <xf numFmtId="0" fontId="24" fillId="2" borderId="27" xfId="0" applyFont="1" applyFill="1" applyBorder="1" applyAlignment="1">
      <alignment horizontal="left" vertical="center"/>
    </xf>
    <xf numFmtId="0" fontId="24" fillId="2" borderId="34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left" vertical="center"/>
    </xf>
    <xf numFmtId="0" fontId="24" fillId="2" borderId="41" xfId="0" applyFont="1" applyFill="1" applyBorder="1" applyAlignment="1">
      <alignment horizontal="left" vertical="center"/>
    </xf>
    <xf numFmtId="0" fontId="24" fillId="2" borderId="42" xfId="0" applyFont="1" applyFill="1" applyBorder="1" applyAlignment="1">
      <alignment horizontal="left" vertical="center"/>
    </xf>
    <xf numFmtId="0" fontId="53" fillId="2" borderId="23" xfId="0" applyFont="1" applyFill="1" applyBorder="1" applyAlignment="1">
      <alignment horizontal="left" vertical="center" wrapText="1"/>
    </xf>
    <xf numFmtId="49" fontId="54" fillId="2" borderId="23" xfId="1" applyNumberFormat="1" applyFont="1" applyFill="1" applyBorder="1" applyAlignment="1">
      <alignment horizontal="center" vertical="center"/>
    </xf>
    <xf numFmtId="44" fontId="53" fillId="0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43" fontId="25" fillId="0" borderId="15" xfId="3" applyFont="1" applyFill="1" applyBorder="1" applyAlignment="1">
      <alignment horizontal="center" vertical="center" wrapText="1"/>
    </xf>
    <xf numFmtId="43" fontId="25" fillId="0" borderId="7" xfId="3" applyFont="1" applyFill="1" applyBorder="1" applyAlignment="1">
      <alignment horizontal="center" vertical="center" wrapText="1"/>
    </xf>
    <xf numFmtId="43" fontId="25" fillId="0" borderId="14" xfId="3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left" wrapText="1"/>
    </xf>
    <xf numFmtId="0" fontId="25" fillId="0" borderId="15" xfId="0" applyFont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wrapText="1"/>
    </xf>
    <xf numFmtId="0" fontId="25" fillId="0" borderId="14" xfId="0" applyFont="1" applyBorder="1" applyAlignment="1">
      <alignment horizontal="left" vertical="center" wrapText="1"/>
    </xf>
    <xf numFmtId="0" fontId="25" fillId="0" borderId="7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9" fontId="29" fillId="0" borderId="15" xfId="1" applyNumberFormat="1" applyFont="1" applyBorder="1" applyAlignment="1">
      <alignment horizontal="center" vertical="center"/>
    </xf>
    <xf numFmtId="0" fontId="29" fillId="0" borderId="7" xfId="1" quotePrefix="1" applyNumberFormat="1" applyFont="1" applyFill="1" applyBorder="1" applyAlignment="1">
      <alignment horizontal="center" vertical="center"/>
    </xf>
    <xf numFmtId="9" fontId="29" fillId="0" borderId="7" xfId="4" quotePrefix="1" applyFont="1" applyFill="1" applyBorder="1" applyAlignment="1">
      <alignment horizontal="center" vertical="center"/>
    </xf>
    <xf numFmtId="0" fontId="29" fillId="0" borderId="14" xfId="1" quotePrefix="1" applyNumberFormat="1" applyFont="1" applyFill="1" applyBorder="1" applyAlignment="1">
      <alignment horizontal="center" vertical="center"/>
    </xf>
    <xf numFmtId="0" fontId="17" fillId="0" borderId="15" xfId="1" quotePrefix="1" applyNumberFormat="1" applyFont="1" applyFill="1" applyBorder="1" applyAlignment="1">
      <alignment horizontal="center" vertical="center"/>
    </xf>
    <xf numFmtId="0" fontId="17" fillId="0" borderId="7" xfId="1" quotePrefix="1" applyNumberFormat="1" applyFont="1" applyFill="1" applyBorder="1" applyAlignment="1">
      <alignment horizontal="center" vertical="center"/>
    </xf>
    <xf numFmtId="49" fontId="17" fillId="0" borderId="7" xfId="1" applyNumberFormat="1" applyFont="1" applyFill="1" applyBorder="1" applyAlignment="1">
      <alignment horizontal="center" vertical="center" wrapText="1"/>
    </xf>
    <xf numFmtId="165" fontId="17" fillId="0" borderId="15" xfId="1" applyNumberFormat="1" applyFont="1" applyFill="1" applyBorder="1" applyAlignment="1">
      <alignment horizontal="center" vertical="center" wrapText="1"/>
    </xf>
    <xf numFmtId="8" fontId="17" fillId="0" borderId="7" xfId="1" applyNumberFormat="1" applyFont="1" applyFill="1" applyBorder="1" applyAlignment="1">
      <alignment horizontal="center" vertical="center" wrapText="1"/>
    </xf>
    <xf numFmtId="8" fontId="17" fillId="0" borderId="14" xfId="1" applyNumberFormat="1" applyFont="1" applyFill="1" applyBorder="1" applyAlignment="1">
      <alignment horizontal="center" vertical="center" wrapText="1"/>
    </xf>
    <xf numFmtId="0" fontId="17" fillId="0" borderId="7" xfId="1" applyNumberFormat="1" applyFont="1" applyFill="1" applyBorder="1" applyAlignment="1">
      <alignment horizontal="center" vertical="center"/>
    </xf>
    <xf numFmtId="9" fontId="17" fillId="0" borderId="7" xfId="1" applyNumberFormat="1" applyFont="1" applyFill="1" applyBorder="1" applyAlignment="1">
      <alignment horizontal="center" vertical="center"/>
    </xf>
    <xf numFmtId="49" fontId="60" fillId="5" borderId="7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1" quotePrefix="1" applyNumberFormat="1" applyFont="1" applyFill="1" applyBorder="1" applyAlignment="1">
      <alignment horizontal="center" vertical="center"/>
    </xf>
    <xf numFmtId="8" fontId="62" fillId="0" borderId="7" xfId="1" applyNumberFormat="1" applyFont="1" applyFill="1" applyBorder="1" applyAlignment="1">
      <alignment horizontal="center" vertical="center" wrapText="1"/>
    </xf>
    <xf numFmtId="0" fontId="63" fillId="0" borderId="3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30" fillId="0" borderId="3" xfId="0" applyFont="1" applyBorder="1"/>
    <xf numFmtId="0" fontId="30" fillId="0" borderId="0" xfId="0" applyFont="1" applyFill="1" applyBorder="1"/>
    <xf numFmtId="0" fontId="30" fillId="0" borderId="0" xfId="0" applyFont="1"/>
    <xf numFmtId="0" fontId="17" fillId="0" borderId="0" xfId="0" applyFont="1"/>
    <xf numFmtId="0" fontId="17" fillId="0" borderId="0" xfId="0" applyFont="1" applyFill="1" applyBorder="1" applyAlignment="1">
      <alignment horizontal="left" vertical="center"/>
    </xf>
    <xf numFmtId="0" fontId="17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30" fillId="0" borderId="0" xfId="0" applyFont="1" applyBorder="1"/>
    <xf numFmtId="0" fontId="30" fillId="0" borderId="0" xfId="0" applyFont="1" applyFill="1" applyBorder="1" applyAlignment="1">
      <alignment vertical="top"/>
    </xf>
    <xf numFmtId="0" fontId="30" fillId="0" borderId="3" xfId="0" applyFont="1" applyFill="1" applyBorder="1"/>
    <xf numFmtId="0" fontId="58" fillId="0" borderId="0" xfId="0" applyFont="1"/>
    <xf numFmtId="0" fontId="4" fillId="0" borderId="7" xfId="0" applyFont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60" fillId="5" borderId="7" xfId="1" applyNumberFormat="1" applyFont="1" applyFill="1" applyBorder="1" applyAlignment="1" applyProtection="1">
      <alignment horizontal="center" vertical="center" wrapText="1"/>
      <protection locked="0"/>
    </xf>
    <xf numFmtId="49" fontId="60" fillId="5" borderId="7" xfId="1" applyNumberFormat="1" applyFont="1" applyFill="1" applyBorder="1" applyAlignment="1" applyProtection="1">
      <alignment horizontal="center" vertical="center" wrapText="1"/>
      <protection locked="0"/>
    </xf>
    <xf numFmtId="0" fontId="60" fillId="5" borderId="8" xfId="1" applyNumberFormat="1" applyFont="1" applyFill="1" applyBorder="1" applyAlignment="1" applyProtection="1">
      <alignment horizontal="center" vertical="center" wrapText="1"/>
      <protection locked="0"/>
    </xf>
    <xf numFmtId="0" fontId="60" fillId="5" borderId="9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7" xfId="0" applyFont="1" applyFill="1" applyBorder="1" applyAlignment="1">
      <alignment horizontal="left" vertical="center" wrapText="1"/>
    </xf>
    <xf numFmtId="0" fontId="60" fillId="5" borderId="15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60" fillId="5" borderId="7" xfId="1" applyNumberFormat="1" applyFont="1" applyFill="1" applyBorder="1" applyAlignment="1" applyProtection="1">
      <alignment horizontal="center" vertical="center"/>
      <protection locked="0"/>
    </xf>
    <xf numFmtId="0" fontId="30" fillId="0" borderId="7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top" wrapText="1"/>
    </xf>
    <xf numFmtId="164" fontId="40" fillId="5" borderId="10" xfId="0" applyNumberFormat="1" applyFont="1" applyFill="1" applyBorder="1" applyAlignment="1" applyProtection="1">
      <alignment horizontal="left" vertical="top" wrapText="1"/>
      <protection locked="0"/>
    </xf>
    <xf numFmtId="164" fontId="40" fillId="5" borderId="20" xfId="0" applyNumberFormat="1" applyFont="1" applyFill="1" applyBorder="1" applyAlignment="1" applyProtection="1">
      <alignment horizontal="left" vertical="top" wrapText="1"/>
      <protection locked="0"/>
    </xf>
    <xf numFmtId="164" fontId="40" fillId="5" borderId="11" xfId="0" applyNumberFormat="1" applyFont="1" applyFill="1" applyBorder="1" applyAlignment="1" applyProtection="1">
      <alignment horizontal="left" vertical="top" wrapText="1"/>
      <protection locked="0"/>
    </xf>
    <xf numFmtId="164" fontId="40" fillId="5" borderId="32" xfId="0" applyNumberFormat="1" applyFont="1" applyFill="1" applyBorder="1" applyAlignment="1" applyProtection="1">
      <alignment horizontal="left" vertical="top" wrapText="1"/>
      <protection locked="0"/>
    </xf>
    <xf numFmtId="164" fontId="40" fillId="5" borderId="3" xfId="0" applyNumberFormat="1" applyFont="1" applyFill="1" applyBorder="1" applyAlignment="1" applyProtection="1">
      <alignment horizontal="left" vertical="top" wrapText="1"/>
      <protection locked="0"/>
    </xf>
    <xf numFmtId="164" fontId="40" fillId="5" borderId="33" xfId="0" applyNumberFormat="1" applyFont="1" applyFill="1" applyBorder="1" applyAlignment="1" applyProtection="1">
      <alignment horizontal="left" vertical="top" wrapText="1"/>
      <protection locked="0"/>
    </xf>
    <xf numFmtId="0" fontId="39" fillId="0" borderId="10" xfId="0" applyFont="1" applyBorder="1" applyAlignment="1">
      <alignment horizontal="left" vertical="center" wrapText="1" indent="1"/>
    </xf>
    <xf numFmtId="0" fontId="39" fillId="0" borderId="20" xfId="0" applyFont="1" applyBorder="1" applyAlignment="1">
      <alignment horizontal="left" vertical="center" wrapText="1" indent="1"/>
    </xf>
    <xf numFmtId="0" fontId="39" fillId="0" borderId="11" xfId="0" applyFont="1" applyBorder="1" applyAlignment="1">
      <alignment horizontal="left" vertical="center" wrapText="1" indent="1"/>
    </xf>
    <xf numFmtId="0" fontId="39" fillId="0" borderId="12" xfId="0" applyFont="1" applyBorder="1" applyAlignment="1">
      <alignment horizontal="left" vertical="center" wrapText="1" indent="1"/>
    </xf>
    <xf numFmtId="0" fontId="39" fillId="0" borderId="19" xfId="0" applyFont="1" applyBorder="1" applyAlignment="1">
      <alignment horizontal="left" vertical="center" wrapText="1" indent="1"/>
    </xf>
    <xf numFmtId="0" fontId="39" fillId="0" borderId="13" xfId="0" applyFont="1" applyBorder="1" applyAlignment="1">
      <alignment horizontal="left" vertical="center" wrapText="1" indent="1"/>
    </xf>
    <xf numFmtId="0" fontId="38" fillId="0" borderId="8" xfId="2" applyFont="1" applyFill="1" applyBorder="1" applyAlignment="1" applyProtection="1">
      <alignment horizontal="left" vertical="center" wrapText="1"/>
    </xf>
    <xf numFmtId="0" fontId="38" fillId="0" borderId="16" xfId="2" applyFont="1" applyFill="1" applyBorder="1" applyAlignment="1" applyProtection="1">
      <alignment horizontal="left" vertical="center" wrapText="1"/>
    </xf>
    <xf numFmtId="0" fontId="38" fillId="0" borderId="9" xfId="2" applyFont="1" applyFill="1" applyBorder="1" applyAlignment="1" applyProtection="1">
      <alignment horizontal="left" vertical="center" wrapText="1"/>
    </xf>
    <xf numFmtId="0" fontId="33" fillId="2" borderId="6" xfId="0" applyFont="1" applyFill="1" applyBorder="1" applyAlignment="1">
      <alignment horizontal="center" vertical="top" wrapText="1"/>
    </xf>
    <xf numFmtId="0" fontId="33" fillId="2" borderId="6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24" fillId="2" borderId="24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47" fillId="2" borderId="5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left" vertical="center" wrapText="1"/>
    </xf>
    <xf numFmtId="0" fontId="24" fillId="2" borderId="23" xfId="0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44" fontId="17" fillId="0" borderId="14" xfId="1" applyFont="1" applyFill="1" applyBorder="1" applyAlignment="1">
      <alignment horizontal="center" vertical="center" wrapText="1"/>
    </xf>
    <xf numFmtId="44" fontId="17" fillId="0" borderId="15" xfId="1" applyFont="1" applyFill="1" applyBorder="1" applyAlignment="1">
      <alignment horizontal="center" vertical="center" wrapText="1"/>
    </xf>
    <xf numFmtId="0" fontId="66" fillId="0" borderId="7" xfId="0" applyFont="1" applyFill="1" applyBorder="1" applyAlignment="1">
      <alignment horizontal="center" vertical="center" wrapText="1"/>
    </xf>
    <xf numFmtId="49" fontId="24" fillId="2" borderId="35" xfId="1" applyNumberFormat="1" applyFont="1" applyFill="1" applyBorder="1" applyAlignment="1">
      <alignment horizontal="center" vertical="center"/>
    </xf>
    <xf numFmtId="49" fontId="24" fillId="2" borderId="36" xfId="1" applyNumberFormat="1" applyFont="1" applyFill="1" applyBorder="1" applyAlignment="1">
      <alignment horizontal="center" vertical="center"/>
    </xf>
    <xf numFmtId="49" fontId="24" fillId="2" borderId="24" xfId="1" applyNumberFormat="1" applyFont="1" applyFill="1" applyBorder="1" applyAlignment="1">
      <alignment horizontal="center" vertical="center"/>
    </xf>
    <xf numFmtId="49" fontId="24" fillId="2" borderId="27" xfId="1" applyNumberFormat="1" applyFont="1" applyFill="1" applyBorder="1" applyAlignment="1">
      <alignment horizontal="center" vertical="center"/>
    </xf>
    <xf numFmtId="8" fontId="60" fillId="0" borderId="10" xfId="1" applyNumberFormat="1" applyFont="1" applyFill="1" applyBorder="1" applyAlignment="1">
      <alignment horizontal="center" vertical="center" wrapText="1"/>
    </xf>
    <xf numFmtId="8" fontId="60" fillId="0" borderId="11" xfId="1" applyNumberFormat="1" applyFont="1" applyFill="1" applyBorder="1" applyAlignment="1">
      <alignment horizontal="center" vertical="center" wrapText="1"/>
    </xf>
    <xf numFmtId="49" fontId="60" fillId="0" borderId="17" xfId="1" applyNumberFormat="1" applyFont="1" applyFill="1" applyBorder="1" applyAlignment="1">
      <alignment horizontal="center" vertical="center"/>
    </xf>
    <xf numFmtId="49" fontId="60" fillId="0" borderId="21" xfId="1" applyNumberFormat="1" applyFont="1" applyFill="1" applyBorder="1" applyAlignment="1">
      <alignment horizontal="center" vertical="center"/>
    </xf>
    <xf numFmtId="49" fontId="60" fillId="0" borderId="12" xfId="1" applyNumberFormat="1" applyFont="1" applyFill="1" applyBorder="1" applyAlignment="1">
      <alignment horizontal="center" vertical="center" wrapText="1"/>
    </xf>
    <xf numFmtId="49" fontId="60" fillId="0" borderId="13" xfId="1" applyNumberFormat="1" applyFont="1" applyFill="1" applyBorder="1" applyAlignment="1">
      <alignment horizontal="center" vertical="center" wrapText="1"/>
    </xf>
    <xf numFmtId="49" fontId="60" fillId="0" borderId="38" xfId="1" applyNumberFormat="1" applyFont="1" applyFill="1" applyBorder="1" applyAlignment="1">
      <alignment horizontal="center" vertical="center"/>
    </xf>
    <xf numFmtId="49" fontId="60" fillId="0" borderId="39" xfId="1" applyNumberFormat="1" applyFont="1" applyFill="1" applyBorder="1" applyAlignment="1">
      <alignment horizontal="center" vertical="center"/>
    </xf>
    <xf numFmtId="49" fontId="60" fillId="5" borderId="8" xfId="1" applyNumberFormat="1" applyFont="1" applyFill="1" applyBorder="1" applyAlignment="1" applyProtection="1">
      <alignment horizontal="center" vertical="center" wrapText="1"/>
      <protection locked="0"/>
    </xf>
    <xf numFmtId="49" fontId="60" fillId="5" borderId="9" xfId="1" applyNumberFormat="1" applyFont="1" applyFill="1" applyBorder="1" applyAlignment="1" applyProtection="1">
      <alignment horizontal="center" vertical="center" wrapText="1"/>
      <protection locked="0"/>
    </xf>
    <xf numFmtId="0" fontId="66" fillId="0" borderId="14" xfId="0" applyFont="1" applyFill="1" applyBorder="1" applyAlignment="1">
      <alignment horizontal="center" vertical="center" wrapText="1"/>
    </xf>
    <xf numFmtId="49" fontId="60" fillId="5" borderId="14" xfId="1" applyNumberFormat="1" applyFont="1" applyFill="1" applyBorder="1" applyAlignment="1" applyProtection="1">
      <alignment horizontal="center" vertical="center" wrapText="1"/>
      <protection locked="0"/>
    </xf>
    <xf numFmtId="49" fontId="29" fillId="0" borderId="12" xfId="1" applyNumberFormat="1" applyFont="1" applyFill="1" applyBorder="1" applyAlignment="1">
      <alignment horizontal="center" vertical="center"/>
    </xf>
    <xf numFmtId="49" fontId="29" fillId="0" borderId="13" xfId="1" applyNumberFormat="1" applyFont="1" applyFill="1" applyBorder="1" applyAlignment="1">
      <alignment horizontal="center" vertical="center"/>
    </xf>
    <xf numFmtId="44" fontId="49" fillId="2" borderId="24" xfId="0" applyNumberFormat="1" applyFont="1" applyFill="1" applyBorder="1" applyAlignment="1">
      <alignment horizontal="center" vertical="center"/>
    </xf>
    <xf numFmtId="44" fontId="49" fillId="2" borderId="25" xfId="0" applyNumberFormat="1" applyFont="1" applyFill="1" applyBorder="1" applyAlignment="1">
      <alignment horizontal="center" vertical="center"/>
    </xf>
    <xf numFmtId="44" fontId="49" fillId="2" borderId="26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43" fontId="25" fillId="0" borderId="14" xfId="3" applyFont="1" applyFill="1" applyBorder="1" applyAlignment="1">
      <alignment horizontal="center" vertical="center" wrapText="1"/>
    </xf>
    <xf numFmtId="43" fontId="25" fillId="0" borderId="15" xfId="3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56" fillId="0" borderId="8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left" vertical="center"/>
    </xf>
    <xf numFmtId="0" fontId="56" fillId="0" borderId="8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6" fillId="0" borderId="9" xfId="0" applyFont="1" applyBorder="1" applyAlignment="1">
      <alignment horizontal="left" vertical="center"/>
    </xf>
    <xf numFmtId="0" fontId="39" fillId="0" borderId="8" xfId="0" applyFont="1" applyFill="1" applyBorder="1" applyAlignment="1">
      <alignment horizontal="left" vertical="center"/>
    </xf>
    <xf numFmtId="0" fontId="39" fillId="0" borderId="16" xfId="0" applyFont="1" applyFill="1" applyBorder="1" applyAlignment="1">
      <alignment horizontal="left" vertical="center"/>
    </xf>
    <xf numFmtId="0" fontId="39" fillId="0" borderId="9" xfId="0" applyFont="1" applyFill="1" applyBorder="1" applyAlignment="1">
      <alignment horizontal="left" vertical="center"/>
    </xf>
    <xf numFmtId="0" fontId="39" fillId="0" borderId="8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9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 wrapText="1"/>
    </xf>
    <xf numFmtId="8" fontId="60" fillId="0" borderId="38" xfId="1" applyNumberFormat="1" applyFont="1" applyFill="1" applyBorder="1" applyAlignment="1">
      <alignment horizontal="center" vertical="center"/>
    </xf>
    <xf numFmtId="8" fontId="60" fillId="0" borderId="39" xfId="1" applyNumberFormat="1" applyFont="1" applyFill="1" applyBorder="1" applyAlignment="1">
      <alignment horizontal="center" vertical="center"/>
    </xf>
    <xf numFmtId="44" fontId="60" fillId="0" borderId="17" xfId="1" applyFont="1" applyFill="1" applyBorder="1" applyAlignment="1">
      <alignment horizontal="center" vertical="center" wrapText="1"/>
    </xf>
    <xf numFmtId="44" fontId="60" fillId="0" borderId="21" xfId="1" applyFont="1" applyFill="1" applyBorder="1" applyAlignment="1">
      <alignment horizontal="center" vertical="center" wrapText="1"/>
    </xf>
    <xf numFmtId="8" fontId="60" fillId="0" borderId="17" xfId="1" applyNumberFormat="1" applyFont="1" applyFill="1" applyBorder="1" applyAlignment="1">
      <alignment horizontal="center" vertical="center" wrapText="1"/>
    </xf>
    <xf numFmtId="8" fontId="60" fillId="0" borderId="21" xfId="1" applyNumberFormat="1" applyFont="1" applyFill="1" applyBorder="1" applyAlignment="1">
      <alignment horizontal="center" vertical="center" wrapText="1"/>
    </xf>
    <xf numFmtId="8" fontId="60" fillId="0" borderId="12" xfId="1" applyNumberFormat="1" applyFont="1" applyFill="1" applyBorder="1" applyAlignment="1">
      <alignment horizontal="center" vertical="center" wrapText="1"/>
    </xf>
    <xf numFmtId="8" fontId="60" fillId="0" borderId="13" xfId="1" applyNumberFormat="1" applyFont="1" applyFill="1" applyBorder="1" applyAlignment="1">
      <alignment horizontal="center" vertical="center" wrapText="1"/>
    </xf>
    <xf numFmtId="0" fontId="49" fillId="2" borderId="22" xfId="0" applyFont="1" applyFill="1" applyBorder="1" applyAlignment="1">
      <alignment horizontal="left" vertical="center" wrapText="1"/>
    </xf>
    <xf numFmtId="0" fontId="49" fillId="2" borderId="23" xfId="0" applyFont="1" applyFill="1" applyBorder="1" applyAlignment="1">
      <alignment horizontal="left" vertical="center" wrapText="1"/>
    </xf>
    <xf numFmtId="0" fontId="53" fillId="2" borderId="22" xfId="0" applyFont="1" applyFill="1" applyBorder="1" applyAlignment="1">
      <alignment horizontal="left" vertical="center" wrapText="1"/>
    </xf>
    <xf numFmtId="0" fontId="53" fillId="2" borderId="23" xfId="0" applyFont="1" applyFill="1" applyBorder="1" applyAlignment="1">
      <alignment horizontal="left" vertical="center" wrapText="1"/>
    </xf>
    <xf numFmtId="44" fontId="65" fillId="2" borderId="24" xfId="0" applyNumberFormat="1" applyFont="1" applyFill="1" applyBorder="1" applyAlignment="1">
      <alignment horizontal="center" vertical="center"/>
    </xf>
    <xf numFmtId="44" fontId="65" fillId="2" borderId="25" xfId="0" applyNumberFormat="1" applyFont="1" applyFill="1" applyBorder="1" applyAlignment="1">
      <alignment horizontal="center" vertical="center"/>
    </xf>
    <xf numFmtId="44" fontId="65" fillId="2" borderId="26" xfId="0" applyNumberFormat="1" applyFont="1" applyFill="1" applyBorder="1" applyAlignment="1">
      <alignment horizontal="center" vertical="center"/>
    </xf>
  </cellXfs>
  <cellStyles count="5">
    <cellStyle name="Comma" xfId="3" builtinId="3"/>
    <cellStyle name="Currency" xfId="1" builtinId="4"/>
    <cellStyle name="Hyperlink" xfId="2" builtinId="8"/>
    <cellStyle name="Normal" xfId="0" builtinId="0"/>
    <cellStyle name="Percent" xfId="4" builtinId="5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FBF3F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375734</xdr:colOff>
      <xdr:row>1</xdr:row>
      <xdr:rowOff>204107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435162" cy="3170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ssissauga.ca/portal/residents/community-groups-registry-progra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0" tint="-0.499984740745262"/>
    <pageSetUpPr fitToPage="1"/>
  </sheetPr>
  <dimension ref="A1:J214"/>
  <sheetViews>
    <sheetView showGridLines="0" tabSelected="1" showRuler="0" zoomScale="55" zoomScaleNormal="55" zoomScaleSheetLayoutView="70" zoomScalePageLayoutView="55" workbookViewId="0">
      <selection activeCell="C9" sqref="C9"/>
    </sheetView>
  </sheetViews>
  <sheetFormatPr defaultColWidth="0" defaultRowHeight="15.75" zeroHeight="1"/>
  <cols>
    <col min="1" max="1" width="4.5703125" style="5" customWidth="1"/>
    <col min="2" max="2" width="51.140625" style="6" customWidth="1"/>
    <col min="3" max="3" width="24" style="6" customWidth="1"/>
    <col min="4" max="4" width="56.7109375" style="6" customWidth="1"/>
    <col min="5" max="5" width="44.5703125" style="2" customWidth="1"/>
    <col min="6" max="6" width="15.140625" style="2" customWidth="1"/>
    <col min="7" max="7" width="16.85546875" style="2" customWidth="1"/>
    <col min="8" max="8" width="36.28515625" style="2" customWidth="1"/>
    <col min="9" max="9" width="1.5703125" style="3" customWidth="1"/>
    <col min="10" max="10" width="1" style="8" customWidth="1"/>
    <col min="11" max="16384" width="9.140625" style="2" hidden="1"/>
  </cols>
  <sheetData>
    <row r="1" spans="1:10" s="12" customFormat="1" ht="234" customHeight="1"/>
    <row r="2" spans="1:10" s="12" customFormat="1" ht="26.25" customHeight="1"/>
    <row r="3" spans="1:10" ht="56.25" customHeight="1">
      <c r="A3" s="205" t="s">
        <v>160</v>
      </c>
      <c r="B3" s="205"/>
      <c r="C3" s="205"/>
      <c r="D3" s="205"/>
      <c r="E3" s="205"/>
      <c r="F3" s="205"/>
      <c r="G3" s="205"/>
      <c r="H3" s="205"/>
      <c r="I3" s="60"/>
    </row>
    <row r="4" spans="1:10">
      <c r="A4" s="106"/>
      <c r="B4" s="107"/>
      <c r="C4" s="107"/>
      <c r="D4" s="107"/>
      <c r="E4" s="107"/>
      <c r="F4" s="107"/>
      <c r="G4" s="106"/>
      <c r="H4" s="106"/>
      <c r="I4" s="2"/>
      <c r="J4" s="2"/>
    </row>
    <row r="5" spans="1:10" s="73" customFormat="1" ht="27.75">
      <c r="A5" s="72"/>
      <c r="B5" s="227" t="s">
        <v>161</v>
      </c>
      <c r="C5" s="227"/>
      <c r="D5" s="227"/>
      <c r="E5" s="227"/>
      <c r="F5" s="227"/>
      <c r="G5" s="227"/>
      <c r="H5" s="227"/>
    </row>
    <row r="6" spans="1:10" s="73" customFormat="1" ht="27.75">
      <c r="A6" s="72"/>
      <c r="B6" s="227" t="s">
        <v>162</v>
      </c>
      <c r="C6" s="227"/>
      <c r="D6" s="227"/>
      <c r="E6" s="227"/>
      <c r="F6" s="227"/>
      <c r="G6" s="227"/>
      <c r="H6" s="227"/>
    </row>
    <row r="7" spans="1:10" ht="27.75" customHeight="1">
      <c r="B7" s="110"/>
      <c r="C7" s="110"/>
      <c r="D7" s="110"/>
      <c r="E7" s="110"/>
      <c r="F7" s="110"/>
      <c r="G7" s="110"/>
      <c r="H7" s="110"/>
      <c r="I7" s="2"/>
      <c r="J7" s="2"/>
    </row>
    <row r="8" spans="1:10" s="102" customFormat="1" ht="22.5">
      <c r="A8" s="98"/>
      <c r="B8" s="206" t="s">
        <v>163</v>
      </c>
      <c r="C8" s="207"/>
      <c r="D8" s="99"/>
      <c r="E8" s="99"/>
      <c r="F8" s="99"/>
      <c r="G8" s="99"/>
      <c r="H8" s="100"/>
      <c r="I8" s="100"/>
      <c r="J8" s="101"/>
    </row>
    <row r="9" spans="1:10" s="76" customFormat="1" ht="45" customHeight="1">
      <c r="A9" s="74"/>
      <c r="B9" s="79" t="s">
        <v>11</v>
      </c>
      <c r="C9" s="80"/>
      <c r="D9" s="221" t="s">
        <v>83</v>
      </c>
      <c r="E9" s="222"/>
      <c r="F9" s="222"/>
      <c r="G9" s="222"/>
      <c r="H9" s="223"/>
      <c r="I9" s="81"/>
    </row>
    <row r="10" spans="1:10" s="76" customFormat="1" ht="45">
      <c r="A10" s="74"/>
      <c r="B10" s="79" t="s">
        <v>12</v>
      </c>
      <c r="C10" s="82"/>
      <c r="D10" s="228" t="s">
        <v>82</v>
      </c>
      <c r="E10" s="228"/>
      <c r="F10" s="228"/>
      <c r="G10" s="228"/>
      <c r="H10" s="228"/>
      <c r="I10" s="83"/>
    </row>
    <row r="11" spans="1:10" s="76" customFormat="1" ht="22.5">
      <c r="A11" s="74"/>
      <c r="B11" s="79" t="s">
        <v>85</v>
      </c>
      <c r="C11" s="82"/>
      <c r="D11" s="228" t="s">
        <v>219</v>
      </c>
      <c r="E11" s="228"/>
      <c r="F11" s="228"/>
      <c r="G11" s="228"/>
      <c r="H11" s="228"/>
      <c r="I11" s="84"/>
    </row>
    <row r="12" spans="1:10" s="76" customFormat="1" ht="22.5">
      <c r="A12" s="74"/>
      <c r="B12" s="79" t="s">
        <v>13</v>
      </c>
      <c r="C12" s="82"/>
      <c r="D12" s="228" t="s">
        <v>220</v>
      </c>
      <c r="E12" s="228"/>
      <c r="F12" s="228"/>
      <c r="G12" s="228"/>
      <c r="H12" s="228"/>
      <c r="I12" s="83"/>
    </row>
    <row r="13" spans="1:10" s="76" customFormat="1" ht="22.5">
      <c r="A13" s="74"/>
      <c r="B13" s="79" t="s">
        <v>88</v>
      </c>
      <c r="C13" s="82"/>
      <c r="D13" s="228" t="s">
        <v>89</v>
      </c>
      <c r="E13" s="228"/>
      <c r="F13" s="228"/>
      <c r="G13" s="228"/>
      <c r="H13" s="228"/>
      <c r="I13" s="83"/>
    </row>
    <row r="14" spans="1:10" s="76" customFormat="1" ht="22.5">
      <c r="A14" s="74"/>
      <c r="B14" s="79" t="s">
        <v>87</v>
      </c>
      <c r="C14" s="82"/>
      <c r="D14" s="228" t="s">
        <v>119</v>
      </c>
      <c r="E14" s="228"/>
      <c r="F14" s="228"/>
      <c r="G14" s="228"/>
      <c r="H14" s="228"/>
      <c r="I14" s="83"/>
    </row>
    <row r="15" spans="1:10" s="76" customFormat="1" ht="22.5" customHeight="1">
      <c r="A15" s="74"/>
      <c r="B15" s="79" t="s">
        <v>84</v>
      </c>
      <c r="C15" s="85">
        <f>COUNT(C19,C21,C23,C27,C36,C45,C54)</f>
        <v>0</v>
      </c>
      <c r="D15" s="86"/>
      <c r="E15" s="87"/>
      <c r="F15" s="87"/>
      <c r="G15" s="87"/>
      <c r="I15" s="77"/>
    </row>
    <row r="16" spans="1:10" s="76" customFormat="1" ht="22.5" customHeight="1">
      <c r="A16" s="74"/>
      <c r="B16" s="79" t="s">
        <v>86</v>
      </c>
      <c r="C16" s="88">
        <f>COUNT(C30,C39,C48,C57)</f>
        <v>0</v>
      </c>
      <c r="D16" s="86"/>
      <c r="E16" s="87"/>
      <c r="F16" s="87"/>
      <c r="G16" s="87"/>
      <c r="I16" s="77"/>
    </row>
    <row r="17" spans="1:10" s="9" customFormat="1" ht="12.75">
      <c r="A17" s="64"/>
      <c r="B17" s="65"/>
      <c r="C17" s="111"/>
      <c r="D17" s="111"/>
      <c r="E17" s="112"/>
      <c r="F17" s="112"/>
      <c r="G17" s="112"/>
      <c r="I17" s="66"/>
    </row>
    <row r="18" spans="1:10" s="103" customFormat="1" ht="22.5">
      <c r="A18" s="74"/>
      <c r="B18" s="224" t="s">
        <v>165</v>
      </c>
      <c r="C18" s="208"/>
      <c r="D18" s="78"/>
      <c r="I18" s="100"/>
    </row>
    <row r="19" spans="1:10" s="76" customFormat="1" ht="22.5" customHeight="1">
      <c r="A19" s="74"/>
      <c r="B19" s="89" t="s">
        <v>47</v>
      </c>
      <c r="C19" s="90"/>
      <c r="D19" s="229" t="s">
        <v>169</v>
      </c>
      <c r="E19" s="230"/>
      <c r="F19" s="230"/>
      <c r="G19" s="230"/>
      <c r="H19" s="231"/>
      <c r="I19" s="91"/>
    </row>
    <row r="20" spans="1:10" s="76" customFormat="1" ht="22.5">
      <c r="A20" s="74"/>
      <c r="B20" s="89" t="s">
        <v>48</v>
      </c>
      <c r="C20" s="90"/>
      <c r="D20" s="232"/>
      <c r="E20" s="233"/>
      <c r="F20" s="233"/>
      <c r="G20" s="233"/>
      <c r="H20" s="234"/>
      <c r="I20" s="91"/>
    </row>
    <row r="21" spans="1:10" s="76" customFormat="1" ht="22.5">
      <c r="A21" s="74"/>
      <c r="B21" s="89" t="s">
        <v>49</v>
      </c>
      <c r="C21" s="90"/>
      <c r="D21" s="232"/>
      <c r="E21" s="233"/>
      <c r="F21" s="233"/>
      <c r="G21" s="233"/>
      <c r="H21" s="234"/>
      <c r="I21" s="91"/>
    </row>
    <row r="22" spans="1:10" s="76" customFormat="1" ht="22.5">
      <c r="A22" s="74"/>
      <c r="B22" s="89" t="s">
        <v>50</v>
      </c>
      <c r="C22" s="90"/>
      <c r="D22" s="232"/>
      <c r="E22" s="233"/>
      <c r="F22" s="233"/>
      <c r="G22" s="233"/>
      <c r="H22" s="234"/>
      <c r="I22" s="77"/>
    </row>
    <row r="23" spans="1:10" s="76" customFormat="1" ht="22.5">
      <c r="A23" s="74"/>
      <c r="B23" s="89" t="s">
        <v>51</v>
      </c>
      <c r="C23" s="90"/>
      <c r="D23" s="232"/>
      <c r="E23" s="233"/>
      <c r="F23" s="233"/>
      <c r="G23" s="233"/>
      <c r="H23" s="234"/>
      <c r="I23" s="77"/>
    </row>
    <row r="24" spans="1:10" s="76" customFormat="1" ht="22.5">
      <c r="A24" s="74"/>
      <c r="B24" s="89" t="s">
        <v>52</v>
      </c>
      <c r="C24" s="90"/>
      <c r="D24" s="235"/>
      <c r="E24" s="236"/>
      <c r="F24" s="236"/>
      <c r="G24" s="236"/>
      <c r="H24" s="237"/>
      <c r="I24" s="77"/>
    </row>
    <row r="25" spans="1:10" s="1" customFormat="1">
      <c r="A25" s="67"/>
      <c r="C25" s="10"/>
      <c r="D25" s="10"/>
      <c r="I25" s="7"/>
    </row>
    <row r="26" spans="1:10" s="103" customFormat="1" ht="22.5">
      <c r="A26" s="74"/>
      <c r="B26" s="225" t="s">
        <v>164</v>
      </c>
      <c r="C26" s="226"/>
      <c r="D26" s="104"/>
      <c r="I26" s="100"/>
    </row>
    <row r="27" spans="1:10" s="76" customFormat="1" ht="22.5">
      <c r="A27" s="74"/>
      <c r="B27" s="92" t="s">
        <v>53</v>
      </c>
      <c r="C27" s="90"/>
      <c r="D27" s="78"/>
      <c r="I27" s="77"/>
    </row>
    <row r="28" spans="1:10" s="76" customFormat="1" ht="22.5">
      <c r="A28" s="74"/>
      <c r="B28" s="92" t="s">
        <v>54</v>
      </c>
      <c r="C28" s="90"/>
      <c r="D28" s="78"/>
      <c r="I28" s="77"/>
    </row>
    <row r="29" spans="1:10" s="76" customFormat="1" ht="22.5">
      <c r="A29" s="74"/>
      <c r="B29" s="79" t="s">
        <v>120</v>
      </c>
      <c r="C29" s="90"/>
      <c r="D29" s="287" t="s">
        <v>221</v>
      </c>
      <c r="E29" s="288"/>
      <c r="F29" s="288"/>
      <c r="G29" s="288"/>
      <c r="H29" s="289"/>
      <c r="I29" s="83"/>
    </row>
    <row r="30" spans="1:10" s="76" customFormat="1" ht="22.5">
      <c r="A30" s="74"/>
      <c r="B30" s="79" t="s">
        <v>55</v>
      </c>
      <c r="C30" s="90"/>
      <c r="D30" s="290" t="s">
        <v>166</v>
      </c>
      <c r="E30" s="291"/>
      <c r="F30" s="291"/>
      <c r="G30" s="291"/>
      <c r="H30" s="292"/>
      <c r="I30" s="93"/>
      <c r="J30" s="94"/>
    </row>
    <row r="31" spans="1:10" s="76" customFormat="1" ht="22.5">
      <c r="A31" s="74"/>
      <c r="B31" s="79" t="s">
        <v>57</v>
      </c>
      <c r="C31" s="90"/>
      <c r="I31" s="77"/>
      <c r="J31" s="94"/>
    </row>
    <row r="32" spans="1:10" s="76" customFormat="1" ht="22.5">
      <c r="A32" s="74"/>
      <c r="B32" s="79" t="s">
        <v>56</v>
      </c>
      <c r="C32" s="90"/>
      <c r="D32" s="95"/>
      <c r="I32" s="77"/>
    </row>
    <row r="33" spans="1:9" s="76" customFormat="1" ht="22.5">
      <c r="A33" s="74"/>
      <c r="B33" s="79" t="s">
        <v>58</v>
      </c>
      <c r="C33" s="90"/>
      <c r="I33" s="77"/>
    </row>
    <row r="34" spans="1:9" s="76" customFormat="1" ht="22.5">
      <c r="A34" s="74"/>
      <c r="B34" s="79" t="s">
        <v>59</v>
      </c>
      <c r="C34" s="90"/>
      <c r="D34" s="95"/>
      <c r="I34" s="77"/>
    </row>
    <row r="35" spans="1:9" s="9" customFormat="1" ht="12.75">
      <c r="A35" s="64"/>
      <c r="B35" s="70"/>
      <c r="C35" s="68"/>
      <c r="D35" s="69"/>
      <c r="I35" s="66"/>
    </row>
    <row r="36" spans="1:9" s="76" customFormat="1" ht="22.5">
      <c r="A36" s="74"/>
      <c r="B36" s="92" t="s">
        <v>60</v>
      </c>
      <c r="C36" s="90"/>
      <c r="D36" s="95"/>
      <c r="I36" s="77"/>
    </row>
    <row r="37" spans="1:9" s="76" customFormat="1" ht="22.5">
      <c r="A37" s="74"/>
      <c r="B37" s="92" t="s">
        <v>61</v>
      </c>
      <c r="C37" s="90"/>
      <c r="D37" s="95"/>
      <c r="I37" s="77"/>
    </row>
    <row r="38" spans="1:9" s="76" customFormat="1" ht="22.5">
      <c r="A38" s="74"/>
      <c r="B38" s="79" t="s">
        <v>110</v>
      </c>
      <c r="C38" s="90"/>
      <c r="D38" s="95"/>
      <c r="I38" s="77"/>
    </row>
    <row r="39" spans="1:9" s="76" customFormat="1" ht="22.5">
      <c r="A39" s="74"/>
      <c r="B39" s="79" t="s">
        <v>62</v>
      </c>
      <c r="C39" s="90"/>
      <c r="I39" s="77"/>
    </row>
    <row r="40" spans="1:9" s="76" customFormat="1" ht="22.5">
      <c r="A40" s="74"/>
      <c r="B40" s="79" t="s">
        <v>63</v>
      </c>
      <c r="C40" s="90"/>
      <c r="D40" s="95"/>
      <c r="I40" s="77"/>
    </row>
    <row r="41" spans="1:9" s="76" customFormat="1" ht="22.5">
      <c r="A41" s="74"/>
      <c r="B41" s="79" t="s">
        <v>64</v>
      </c>
      <c r="C41" s="90"/>
      <c r="D41" s="95"/>
      <c r="I41" s="77"/>
    </row>
    <row r="42" spans="1:9" s="76" customFormat="1" ht="22.5">
      <c r="A42" s="74"/>
      <c r="B42" s="79" t="s">
        <v>65</v>
      </c>
      <c r="C42" s="90"/>
      <c r="D42" s="96"/>
      <c r="I42" s="77"/>
    </row>
    <row r="43" spans="1:9" s="76" customFormat="1" ht="22.5">
      <c r="A43" s="74"/>
      <c r="B43" s="79" t="s">
        <v>66</v>
      </c>
      <c r="C43" s="90"/>
      <c r="D43" s="95"/>
      <c r="I43" s="77"/>
    </row>
    <row r="44" spans="1:9" s="1" customFormat="1">
      <c r="A44" s="67"/>
      <c r="B44" s="11"/>
      <c r="C44" s="10"/>
      <c r="D44" s="14"/>
      <c r="I44" s="7"/>
    </row>
    <row r="45" spans="1:9" s="76" customFormat="1" ht="22.5">
      <c r="A45" s="74"/>
      <c r="B45" s="92" t="s">
        <v>67</v>
      </c>
      <c r="C45" s="90"/>
      <c r="D45" s="95"/>
      <c r="I45" s="77"/>
    </row>
    <row r="46" spans="1:9" s="76" customFormat="1" ht="22.5">
      <c r="A46" s="74"/>
      <c r="B46" s="92" t="s">
        <v>68</v>
      </c>
      <c r="C46" s="90"/>
      <c r="D46" s="95"/>
      <c r="I46" s="77"/>
    </row>
    <row r="47" spans="1:9" s="76" customFormat="1" ht="22.5">
      <c r="A47" s="74"/>
      <c r="B47" s="79" t="s">
        <v>121</v>
      </c>
      <c r="C47" s="90"/>
      <c r="I47" s="77"/>
    </row>
    <row r="48" spans="1:9" s="76" customFormat="1" ht="22.5">
      <c r="A48" s="74"/>
      <c r="B48" s="79" t="s">
        <v>69</v>
      </c>
      <c r="C48" s="90"/>
      <c r="D48" s="95"/>
      <c r="I48" s="77"/>
    </row>
    <row r="49" spans="1:9" s="76" customFormat="1" ht="22.5">
      <c r="A49" s="74"/>
      <c r="B49" s="79" t="s">
        <v>70</v>
      </c>
      <c r="C49" s="90"/>
      <c r="D49" s="95"/>
      <c r="I49" s="77"/>
    </row>
    <row r="50" spans="1:9" s="76" customFormat="1" ht="22.5">
      <c r="A50" s="74"/>
      <c r="B50" s="79" t="s">
        <v>71</v>
      </c>
      <c r="C50" s="90"/>
      <c r="D50" s="95"/>
      <c r="I50" s="77"/>
    </row>
    <row r="51" spans="1:9" s="76" customFormat="1" ht="22.5">
      <c r="A51" s="74"/>
      <c r="B51" s="79" t="s">
        <v>72</v>
      </c>
      <c r="C51" s="90"/>
      <c r="D51" s="95"/>
      <c r="I51" s="77"/>
    </row>
    <row r="52" spans="1:9" s="76" customFormat="1" ht="22.5">
      <c r="A52" s="74"/>
      <c r="B52" s="79" t="s">
        <v>73</v>
      </c>
      <c r="C52" s="90"/>
      <c r="D52" s="95"/>
      <c r="I52" s="77"/>
    </row>
    <row r="53" spans="1:9" s="1" customFormat="1">
      <c r="A53" s="67"/>
      <c r="B53" s="11"/>
      <c r="C53" s="10"/>
      <c r="D53" s="14"/>
      <c r="I53" s="7"/>
    </row>
    <row r="54" spans="1:9" s="76" customFormat="1" ht="22.5">
      <c r="A54" s="74"/>
      <c r="B54" s="92" t="s">
        <v>102</v>
      </c>
      <c r="C54" s="90"/>
      <c r="D54" s="95"/>
      <c r="I54" s="77"/>
    </row>
    <row r="55" spans="1:9" s="76" customFormat="1" ht="22.5">
      <c r="A55" s="74"/>
      <c r="B55" s="92" t="s">
        <v>74</v>
      </c>
      <c r="C55" s="90"/>
      <c r="D55" s="95"/>
      <c r="I55" s="77"/>
    </row>
    <row r="56" spans="1:9" s="76" customFormat="1" ht="22.5">
      <c r="A56" s="74"/>
      <c r="B56" s="79" t="s">
        <v>122</v>
      </c>
      <c r="C56" s="90"/>
      <c r="D56" s="95"/>
      <c r="I56" s="77"/>
    </row>
    <row r="57" spans="1:9" s="76" customFormat="1" ht="22.5">
      <c r="A57" s="74"/>
      <c r="B57" s="79" t="s">
        <v>75</v>
      </c>
      <c r="C57" s="90"/>
      <c r="I57" s="77"/>
    </row>
    <row r="58" spans="1:9" s="76" customFormat="1" ht="22.5">
      <c r="A58" s="74"/>
      <c r="B58" s="79" t="s">
        <v>76</v>
      </c>
      <c r="C58" s="90"/>
      <c r="D58" s="95"/>
      <c r="I58" s="77"/>
    </row>
    <row r="59" spans="1:9" s="76" customFormat="1" ht="22.5">
      <c r="A59" s="74"/>
      <c r="B59" s="79" t="s">
        <v>77</v>
      </c>
      <c r="C59" s="90"/>
      <c r="D59" s="95"/>
      <c r="I59" s="77"/>
    </row>
    <row r="60" spans="1:9" s="76" customFormat="1" ht="22.5">
      <c r="A60" s="74"/>
      <c r="B60" s="79" t="s">
        <v>78</v>
      </c>
      <c r="C60" s="90"/>
      <c r="D60" s="95"/>
      <c r="I60" s="77"/>
    </row>
    <row r="61" spans="1:9" s="76" customFormat="1" ht="22.5">
      <c r="A61" s="74"/>
      <c r="B61" s="79" t="s">
        <v>79</v>
      </c>
      <c r="C61" s="90"/>
      <c r="D61" s="95"/>
      <c r="I61" s="77"/>
    </row>
    <row r="62" spans="1:9" s="1" customFormat="1">
      <c r="A62" s="67"/>
      <c r="B62" s="11"/>
      <c r="C62" s="10"/>
      <c r="D62" s="10"/>
      <c r="I62" s="7"/>
    </row>
    <row r="63" spans="1:9" s="103" customFormat="1" ht="22.5">
      <c r="A63" s="74"/>
      <c r="B63" s="224" t="s">
        <v>167</v>
      </c>
      <c r="C63" s="208"/>
      <c r="D63" s="75"/>
      <c r="I63" s="100"/>
    </row>
    <row r="64" spans="1:9" s="76" customFormat="1" ht="22.5">
      <c r="A64" s="74"/>
      <c r="B64" s="89" t="s">
        <v>80</v>
      </c>
      <c r="C64" s="90"/>
      <c r="D64" s="215" t="s">
        <v>170</v>
      </c>
      <c r="E64" s="216"/>
      <c r="F64" s="216"/>
      <c r="G64" s="216"/>
      <c r="H64" s="217"/>
      <c r="I64" s="91"/>
    </row>
    <row r="65" spans="1:10" s="76" customFormat="1" ht="22.5">
      <c r="A65" s="74"/>
      <c r="B65" s="89" t="s">
        <v>81</v>
      </c>
      <c r="C65" s="90"/>
      <c r="D65" s="218"/>
      <c r="E65" s="219"/>
      <c r="F65" s="219"/>
      <c r="G65" s="219"/>
      <c r="H65" s="220"/>
      <c r="I65" s="91"/>
    </row>
    <row r="66" spans="1:10" s="1" customFormat="1">
      <c r="A66" s="67"/>
      <c r="B66" s="10"/>
      <c r="C66" s="10"/>
      <c r="D66" s="10"/>
      <c r="I66" s="7"/>
    </row>
    <row r="67" spans="1:10" s="103" customFormat="1" ht="22.5">
      <c r="A67" s="74"/>
      <c r="B67" s="208" t="s">
        <v>168</v>
      </c>
      <c r="C67" s="208"/>
      <c r="D67" s="208"/>
      <c r="E67" s="208"/>
      <c r="F67" s="208"/>
      <c r="G67" s="208"/>
      <c r="H67" s="208"/>
      <c r="I67" s="105"/>
    </row>
    <row r="68" spans="1:10" s="76" customFormat="1" ht="22.5">
      <c r="A68" s="74"/>
      <c r="B68" s="209" t="s">
        <v>104</v>
      </c>
      <c r="C68" s="210"/>
      <c r="D68" s="210"/>
      <c r="E68" s="210"/>
      <c r="F68" s="210"/>
      <c r="G68" s="210"/>
      <c r="H68" s="211"/>
      <c r="I68" s="97"/>
    </row>
    <row r="69" spans="1:10" s="76" customFormat="1" ht="148.5" customHeight="1">
      <c r="B69" s="212"/>
      <c r="C69" s="213"/>
      <c r="D69" s="213"/>
      <c r="E69" s="213"/>
      <c r="F69" s="213"/>
      <c r="G69" s="213"/>
      <c r="H69" s="214"/>
      <c r="I69" s="97"/>
    </row>
    <row r="70" spans="1:10" s="114" customFormat="1" ht="63">
      <c r="A70" s="240" t="s">
        <v>171</v>
      </c>
      <c r="B70" s="241"/>
      <c r="C70" s="241"/>
      <c r="D70" s="241"/>
      <c r="E70" s="241"/>
      <c r="F70" s="241"/>
      <c r="G70" s="241"/>
      <c r="H70" s="242"/>
      <c r="I70" s="113"/>
    </row>
    <row r="71" spans="1:10" s="61" customFormat="1" ht="40.5" customHeight="1" thickBot="1">
      <c r="A71" s="243" t="s">
        <v>10</v>
      </c>
      <c r="B71" s="244"/>
      <c r="C71" s="244"/>
      <c r="D71" s="244"/>
      <c r="E71" s="244"/>
      <c r="F71" s="244"/>
      <c r="G71" s="244"/>
      <c r="H71" s="245"/>
      <c r="I71" s="115"/>
    </row>
    <row r="72" spans="1:10" s="125" customFormat="1" ht="31.5" thickBot="1">
      <c r="A72" s="246" t="s">
        <v>172</v>
      </c>
      <c r="B72" s="247"/>
      <c r="C72" s="116"/>
      <c r="D72" s="116"/>
      <c r="E72" s="122" t="s">
        <v>0</v>
      </c>
      <c r="F72" s="238" t="s">
        <v>1</v>
      </c>
      <c r="G72" s="239"/>
      <c r="H72" s="123" t="s">
        <v>105</v>
      </c>
      <c r="I72" s="124"/>
    </row>
    <row r="73" spans="1:10" s="3" customFormat="1" ht="22.5" customHeight="1">
      <c r="A73" s="35">
        <v>1</v>
      </c>
      <c r="B73" s="147" t="s">
        <v>39</v>
      </c>
      <c r="C73" s="192" t="s">
        <v>14</v>
      </c>
      <c r="D73" s="192"/>
      <c r="E73" s="156">
        <v>77</v>
      </c>
      <c r="F73" s="297"/>
      <c r="G73" s="298"/>
      <c r="H73" s="137">
        <f>IF(C9="",0,Info!B3)</f>
        <v>0</v>
      </c>
      <c r="I73" s="59"/>
    </row>
    <row r="74" spans="1:10" s="3" customFormat="1" ht="60" customHeight="1">
      <c r="A74" s="13">
        <v>2</v>
      </c>
      <c r="B74" s="146" t="s">
        <v>22</v>
      </c>
      <c r="C74" s="191" t="s">
        <v>192</v>
      </c>
      <c r="D74" s="191"/>
      <c r="E74" s="163" t="s">
        <v>155</v>
      </c>
      <c r="F74" s="301"/>
      <c r="G74" s="302"/>
      <c r="H74" s="138">
        <f>IFERROR(INDEX(Info!$A$1:$AI$6,MATCH('Fee Schedule Tool'!$C$9,Info!$A$1:$A$6,0),MATCH('Fee Schedule Tool'!$B$74,Info!$A$1:$AI$1,0))*C15,0)</f>
        <v>0</v>
      </c>
      <c r="I74" s="59"/>
    </row>
    <row r="75" spans="1:10" ht="60" customHeight="1">
      <c r="A75" s="190">
        <v>3</v>
      </c>
      <c r="B75" s="202" t="s">
        <v>43</v>
      </c>
      <c r="C75" s="200" t="s">
        <v>193</v>
      </c>
      <c r="D75" s="200"/>
      <c r="E75" s="250" t="s">
        <v>107</v>
      </c>
      <c r="F75" s="299"/>
      <c r="G75" s="300"/>
      <c r="H75" s="277">
        <f>IF($C$10&lt;15,Info!$D$3,IF($C$10&gt;30,Info!$D$5,Info!$D$4))</f>
        <v>0</v>
      </c>
      <c r="I75" s="59"/>
      <c r="J75" s="2"/>
    </row>
    <row r="76" spans="1:10" ht="40.5" customHeight="1">
      <c r="A76" s="190"/>
      <c r="B76" s="202"/>
      <c r="C76" s="200" t="s">
        <v>194</v>
      </c>
      <c r="D76" s="200"/>
      <c r="E76" s="251"/>
      <c r="F76" s="299"/>
      <c r="G76" s="300"/>
      <c r="H76" s="278"/>
      <c r="I76" s="59"/>
      <c r="J76" s="2"/>
    </row>
    <row r="77" spans="1:10" s="3" customFormat="1" ht="60" customHeight="1">
      <c r="A77" s="13">
        <v>4</v>
      </c>
      <c r="B77" s="146" t="s">
        <v>31</v>
      </c>
      <c r="C77" s="201" t="s">
        <v>195</v>
      </c>
      <c r="D77" s="201"/>
      <c r="E77" s="157">
        <v>1730.77</v>
      </c>
      <c r="F77" s="303"/>
      <c r="G77" s="304"/>
      <c r="H77" s="138">
        <f>IF(C9="",0,Info!E3)</f>
        <v>0</v>
      </c>
      <c r="I77" s="59"/>
    </row>
    <row r="78" spans="1:10" s="3" customFormat="1" ht="60.75" customHeight="1">
      <c r="A78" s="13">
        <v>5</v>
      </c>
      <c r="B78" s="146" t="s">
        <v>27</v>
      </c>
      <c r="C78" s="191" t="s">
        <v>196</v>
      </c>
      <c r="D78" s="191"/>
      <c r="E78" s="157">
        <v>503.34</v>
      </c>
      <c r="F78" s="195" t="s">
        <v>111</v>
      </c>
      <c r="G78" s="196"/>
      <c r="H78" s="138">
        <f>IF(C9="",0,IFERROR(Info!F3*'Fee Schedule Tool'!F78,Info!F3))</f>
        <v>0</v>
      </c>
      <c r="I78" s="59"/>
    </row>
    <row r="79" spans="1:10" s="3" customFormat="1" ht="60.75" customHeight="1" thickBot="1">
      <c r="A79" s="34">
        <v>6</v>
      </c>
      <c r="B79" s="148" t="s">
        <v>23</v>
      </c>
      <c r="C79" s="248" t="s">
        <v>197</v>
      </c>
      <c r="D79" s="248"/>
      <c r="E79" s="158" t="s">
        <v>179</v>
      </c>
      <c r="F79" s="257"/>
      <c r="G79" s="258"/>
      <c r="H79" s="139">
        <f>IFERROR(INDEX(Info!$A$1:$AI$6,MATCH('Fee Schedule Tool'!$C$9,Info!$A$1:$A$6,0),MATCH('Fee Schedule Tool'!$B$79,Info!$A$1:$AI$1,0))*C15,0)</f>
        <v>0</v>
      </c>
      <c r="I79" s="59"/>
    </row>
    <row r="80" spans="1:10" s="125" customFormat="1" ht="31.5" thickBot="1">
      <c r="A80" s="126" t="s">
        <v>173</v>
      </c>
      <c r="B80" s="127"/>
      <c r="C80" s="116"/>
      <c r="D80" s="116"/>
      <c r="E80" s="122"/>
      <c r="F80" s="255"/>
      <c r="G80" s="256"/>
      <c r="H80" s="123"/>
      <c r="I80" s="124"/>
    </row>
    <row r="81" spans="1:10" s="4" customFormat="1" ht="276" customHeight="1">
      <c r="A81" s="35">
        <v>7</v>
      </c>
      <c r="B81" s="140" t="s">
        <v>8</v>
      </c>
      <c r="C81" s="199" t="s">
        <v>185</v>
      </c>
      <c r="D81" s="199"/>
      <c r="E81" s="153" t="s">
        <v>132</v>
      </c>
      <c r="F81" s="263"/>
      <c r="G81" s="264"/>
      <c r="H81" s="137">
        <f>Info!H14*Info!H4*Info!H3</f>
        <v>0</v>
      </c>
      <c r="I81" s="59"/>
    </row>
    <row r="82" spans="1:10" s="3" customFormat="1" ht="272.25" customHeight="1">
      <c r="A82" s="13">
        <v>8</v>
      </c>
      <c r="B82" s="146" t="s">
        <v>3</v>
      </c>
      <c r="C82" s="191" t="s">
        <v>186</v>
      </c>
      <c r="D82" s="191"/>
      <c r="E82" s="154" t="s">
        <v>222</v>
      </c>
      <c r="F82" s="259"/>
      <c r="G82" s="260"/>
      <c r="H82" s="138">
        <f>Info!I10*Info!I3</f>
        <v>0</v>
      </c>
      <c r="I82" s="59"/>
    </row>
    <row r="83" spans="1:10" s="3" customFormat="1" ht="114.75" customHeight="1">
      <c r="A83" s="13">
        <v>9</v>
      </c>
      <c r="B83" s="141" t="s">
        <v>24</v>
      </c>
      <c r="C83" s="191" t="s">
        <v>187</v>
      </c>
      <c r="D83" s="191"/>
      <c r="E83" s="154" t="s">
        <v>133</v>
      </c>
      <c r="F83" s="259"/>
      <c r="G83" s="260"/>
      <c r="H83" s="138">
        <f>Info!J10*Info!J4*Info!J3</f>
        <v>0</v>
      </c>
      <c r="I83" s="59"/>
    </row>
    <row r="84" spans="1:10" s="3" customFormat="1" ht="81.75" customHeight="1">
      <c r="A84" s="13">
        <v>10</v>
      </c>
      <c r="B84" s="141" t="s">
        <v>26</v>
      </c>
      <c r="C84" s="191" t="s">
        <v>188</v>
      </c>
      <c r="D84" s="191"/>
      <c r="E84" s="154" t="s">
        <v>134</v>
      </c>
      <c r="F84" s="259"/>
      <c r="G84" s="260"/>
      <c r="H84" s="138">
        <f>Info!K10*Info!K3*Info!K4</f>
        <v>0</v>
      </c>
      <c r="I84" s="59"/>
    </row>
    <row r="85" spans="1:10" s="3" customFormat="1" ht="94.5" customHeight="1">
      <c r="A85" s="13">
        <v>11</v>
      </c>
      <c r="B85" s="141" t="s">
        <v>29</v>
      </c>
      <c r="C85" s="191" t="s">
        <v>189</v>
      </c>
      <c r="D85" s="191"/>
      <c r="E85" s="155" t="s">
        <v>223</v>
      </c>
      <c r="F85" s="261"/>
      <c r="G85" s="262"/>
      <c r="H85" s="138">
        <f>IF(C14&lt;=4999,Info!L3*C16,IF(C12&lt;=5,Info!L3*C16,Info!L4*C16))</f>
        <v>0</v>
      </c>
      <c r="I85" s="59"/>
    </row>
    <row r="86" spans="1:10" s="3" customFormat="1" ht="102" customHeight="1">
      <c r="A86" s="13">
        <v>12</v>
      </c>
      <c r="B86" s="146" t="s">
        <v>32</v>
      </c>
      <c r="C86" s="191" t="s">
        <v>190</v>
      </c>
      <c r="D86" s="191"/>
      <c r="E86" s="154" t="s">
        <v>135</v>
      </c>
      <c r="F86" s="194" t="s">
        <v>97</v>
      </c>
      <c r="G86" s="194"/>
      <c r="H86" s="138">
        <f>Info!M3*Info!M4+(IFERROR(F86*Info!M3*Info!M4,0))</f>
        <v>0</v>
      </c>
      <c r="I86" s="59"/>
    </row>
    <row r="87" spans="1:10" s="3" customFormat="1" ht="117" customHeight="1">
      <c r="A87" s="13">
        <v>13</v>
      </c>
      <c r="B87" s="146" t="s">
        <v>178</v>
      </c>
      <c r="C87" s="191" t="s">
        <v>191</v>
      </c>
      <c r="D87" s="191"/>
      <c r="E87" s="154" t="s">
        <v>136</v>
      </c>
      <c r="F87" s="194" t="s">
        <v>103</v>
      </c>
      <c r="G87" s="194"/>
      <c r="H87" s="138">
        <f>IFERROR(F87*Info!N3,0)</f>
        <v>0</v>
      </c>
      <c r="I87" s="59"/>
    </row>
    <row r="88" spans="1:10" s="125" customFormat="1" ht="31.5" thickBot="1">
      <c r="A88" s="131" t="s">
        <v>174</v>
      </c>
      <c r="B88" s="132"/>
      <c r="C88" s="130"/>
      <c r="D88" s="117"/>
      <c r="E88" s="128" t="s">
        <v>0</v>
      </c>
      <c r="F88" s="253" t="s">
        <v>1</v>
      </c>
      <c r="G88" s="254"/>
      <c r="H88" s="129" t="s">
        <v>105</v>
      </c>
      <c r="I88" s="124"/>
    </row>
    <row r="89" spans="1:10" ht="79.5" customHeight="1">
      <c r="A89" s="35">
        <v>14</v>
      </c>
      <c r="B89" s="140" t="s">
        <v>177</v>
      </c>
      <c r="C89" s="249" t="s">
        <v>198</v>
      </c>
      <c r="D89" s="249"/>
      <c r="E89" s="153" t="s">
        <v>125</v>
      </c>
      <c r="F89" s="198" t="s">
        <v>90</v>
      </c>
      <c r="G89" s="198"/>
      <c r="H89" s="137">
        <f>IFERROR(F89*Info!O3,0)</f>
        <v>0</v>
      </c>
      <c r="I89" s="59"/>
      <c r="J89" s="2"/>
    </row>
    <row r="90" spans="1:10" ht="80.25" customHeight="1">
      <c r="A90" s="13">
        <v>15</v>
      </c>
      <c r="B90" s="141" t="s">
        <v>217</v>
      </c>
      <c r="C90" s="204" t="s">
        <v>199</v>
      </c>
      <c r="D90" s="204"/>
      <c r="E90" s="154" t="s">
        <v>126</v>
      </c>
      <c r="F90" s="193" t="s">
        <v>90</v>
      </c>
      <c r="G90" s="193"/>
      <c r="H90" s="138">
        <f>IFERROR(F90*Info!P3,0)</f>
        <v>0</v>
      </c>
      <c r="I90" s="59"/>
      <c r="J90" s="2"/>
    </row>
    <row r="91" spans="1:10" ht="40.5" customHeight="1">
      <c r="A91" s="13">
        <v>16</v>
      </c>
      <c r="B91" s="141" t="s">
        <v>25</v>
      </c>
      <c r="C91" s="200" t="s">
        <v>200</v>
      </c>
      <c r="D91" s="200"/>
      <c r="E91" s="159" t="s">
        <v>127</v>
      </c>
      <c r="F91" s="203" t="s">
        <v>99</v>
      </c>
      <c r="G91" s="203"/>
      <c r="H91" s="138">
        <f>IF(F91="Yes",Info!Q3,0)</f>
        <v>0</v>
      </c>
      <c r="I91" s="59"/>
      <c r="J91" s="2"/>
    </row>
    <row r="92" spans="1:10" ht="40.5" customHeight="1">
      <c r="A92" s="13">
        <v>17</v>
      </c>
      <c r="B92" s="141" t="s">
        <v>28</v>
      </c>
      <c r="C92" s="204" t="s">
        <v>201</v>
      </c>
      <c r="D92" s="204"/>
      <c r="E92" s="160" t="s">
        <v>156</v>
      </c>
      <c r="F92" s="193" t="s">
        <v>91</v>
      </c>
      <c r="G92" s="193"/>
      <c r="H92" s="138">
        <f>IFERROR(F92*Info!R3,0)</f>
        <v>0</v>
      </c>
      <c r="I92" s="59"/>
      <c r="J92" s="2"/>
    </row>
    <row r="93" spans="1:10" s="3" customFormat="1" ht="40.5" customHeight="1">
      <c r="A93" s="13">
        <v>18</v>
      </c>
      <c r="B93" s="141" t="s">
        <v>112</v>
      </c>
      <c r="C93" s="197" t="s">
        <v>202</v>
      </c>
      <c r="D93" s="197"/>
      <c r="E93" s="154" t="s">
        <v>128</v>
      </c>
      <c r="F93" s="193" t="s">
        <v>93</v>
      </c>
      <c r="G93" s="193"/>
      <c r="H93" s="138">
        <f>IFERROR(F93*Info!S3,0)</f>
        <v>0</v>
      </c>
      <c r="I93" s="59"/>
    </row>
    <row r="94" spans="1:10" s="3" customFormat="1" ht="60" customHeight="1">
      <c r="A94" s="13">
        <v>19</v>
      </c>
      <c r="B94" s="141" t="s">
        <v>33</v>
      </c>
      <c r="C94" s="197" t="s">
        <v>214</v>
      </c>
      <c r="D94" s="197"/>
      <c r="E94" s="157" t="s">
        <v>180</v>
      </c>
      <c r="F94" s="193" t="s">
        <v>113</v>
      </c>
      <c r="G94" s="193"/>
      <c r="H94" s="138">
        <f>IFERROR((INDEX(Info!$A$1:$AI$6,MATCH('Fee Schedule Tool'!$C$9,Info!$A$1:$A$6,0),MATCH('Fee Schedule Tool'!$B$94,Info!$A$1:$AI$1,0)))*F94,0)</f>
        <v>0</v>
      </c>
      <c r="I94" s="59"/>
    </row>
    <row r="95" spans="1:10" s="3" customFormat="1" ht="77.25" customHeight="1">
      <c r="A95" s="13">
        <v>20</v>
      </c>
      <c r="B95" s="141" t="s">
        <v>40</v>
      </c>
      <c r="C95" s="197" t="s">
        <v>218</v>
      </c>
      <c r="D95" s="197"/>
      <c r="E95" s="157" t="s">
        <v>179</v>
      </c>
      <c r="F95" s="203" t="s">
        <v>99</v>
      </c>
      <c r="G95" s="203"/>
      <c r="H95" s="138">
        <f>IF(F95="Yes",IFERROR((INDEX(Info!$A$1:$AI$6,MATCH('Fee Schedule Tool'!$C$9,Info!$A$1:$A$6,0),MATCH('Fee Schedule Tool'!$B$95,Info!$A$1:$AI$1,0))),0),0)</f>
        <v>0</v>
      </c>
      <c r="I95" s="59"/>
    </row>
    <row r="96" spans="1:10" s="3" customFormat="1" ht="60" customHeight="1">
      <c r="A96" s="13">
        <v>21</v>
      </c>
      <c r="B96" s="141" t="s">
        <v>38</v>
      </c>
      <c r="C96" s="197" t="s">
        <v>203</v>
      </c>
      <c r="D96" s="197"/>
      <c r="E96" s="157" t="s">
        <v>179</v>
      </c>
      <c r="F96" s="203" t="s">
        <v>99</v>
      </c>
      <c r="G96" s="203"/>
      <c r="H96" s="138">
        <f>IF(F96="Yes",IFERROR((INDEX(Info!$A$1:$AI$6,MATCH('Fee Schedule Tool'!$C$9,Info!$A$1:$A$6,0),MATCH('Fee Schedule Tool'!$B$96,Info!$A$1:$AI$1,0))),0),0)</f>
        <v>0</v>
      </c>
      <c r="I96" s="59"/>
    </row>
    <row r="97" spans="1:10" s="3" customFormat="1" ht="80.25" customHeight="1">
      <c r="A97" s="13">
        <v>22</v>
      </c>
      <c r="B97" s="141" t="s">
        <v>36</v>
      </c>
      <c r="C97" s="200" t="s">
        <v>204</v>
      </c>
      <c r="D97" s="200"/>
      <c r="E97" s="157" t="s">
        <v>179</v>
      </c>
      <c r="F97" s="203" t="s">
        <v>99</v>
      </c>
      <c r="G97" s="203"/>
      <c r="H97" s="138">
        <f>IF(F97="Yes",IFERROR((INDEX(Info!$A$1:$AI$6,MATCH('Fee Schedule Tool'!$C$9,Info!$A$1:$A$6,0),MATCH('Fee Schedule Tool'!$B$97,Info!$A$1:$AI$1,0))),0),0)</f>
        <v>0</v>
      </c>
      <c r="I97" s="59"/>
    </row>
    <row r="98" spans="1:10" ht="93.75">
      <c r="A98" s="190">
        <v>23</v>
      </c>
      <c r="B98" s="142" t="s">
        <v>106</v>
      </c>
      <c r="C98" s="204" t="s">
        <v>205</v>
      </c>
      <c r="D98" s="204"/>
      <c r="E98" s="157" t="s">
        <v>181</v>
      </c>
      <c r="F98" s="195" t="s">
        <v>94</v>
      </c>
      <c r="G98" s="196"/>
      <c r="H98" s="138">
        <f>IFERROR(VLOOKUP($C$9,Info!A1:$AH$6,22,FALSE)*F98,0)</f>
        <v>0</v>
      </c>
      <c r="I98" s="59"/>
      <c r="J98" s="2"/>
    </row>
    <row r="99" spans="1:10" ht="93.75">
      <c r="A99" s="190"/>
      <c r="B99" s="143"/>
      <c r="C99" s="204" t="s">
        <v>206</v>
      </c>
      <c r="D99" s="204"/>
      <c r="E99" s="157" t="s">
        <v>213</v>
      </c>
      <c r="F99" s="195" t="s">
        <v>94</v>
      </c>
      <c r="G99" s="196"/>
      <c r="H99" s="138">
        <f>IFERROR(VLOOKUP($C$9,Info!A2:$AH$6,23,FALSE)*F99,0)</f>
        <v>0</v>
      </c>
      <c r="I99" s="59"/>
      <c r="J99" s="2"/>
    </row>
    <row r="100" spans="1:10" ht="81" customHeight="1">
      <c r="A100" s="190">
        <v>24</v>
      </c>
      <c r="B100" s="144" t="s">
        <v>2</v>
      </c>
      <c r="C100" s="204" t="s">
        <v>207</v>
      </c>
      <c r="D100" s="204"/>
      <c r="E100" s="157" t="s">
        <v>182</v>
      </c>
      <c r="F100" s="265" t="s">
        <v>94</v>
      </c>
      <c r="G100" s="266"/>
      <c r="H100" s="138">
        <f>IFERROR(VLOOKUP($C$9,Info!A3:$AH$6,24,FALSE)*F100,0)</f>
        <v>0</v>
      </c>
      <c r="I100" s="59"/>
      <c r="J100" s="2"/>
    </row>
    <row r="101" spans="1:10" ht="75.75" customHeight="1">
      <c r="A101" s="190"/>
      <c r="B101" s="140"/>
      <c r="C101" s="204" t="s">
        <v>208</v>
      </c>
      <c r="D101" s="204"/>
      <c r="E101" s="157" t="s">
        <v>183</v>
      </c>
      <c r="F101" s="265" t="s">
        <v>94</v>
      </c>
      <c r="G101" s="266"/>
      <c r="H101" s="138">
        <f>IFERROR(VLOOKUP($C$9,Info!A4:$AH$6,25,FALSE)*F101,0)</f>
        <v>0</v>
      </c>
      <c r="I101" s="59"/>
      <c r="J101" s="2"/>
    </row>
    <row r="102" spans="1:10" s="3" customFormat="1" ht="149.25" customHeight="1">
      <c r="A102" s="13">
        <v>25</v>
      </c>
      <c r="B102" s="141" t="s">
        <v>30</v>
      </c>
      <c r="C102" s="191" t="s">
        <v>209</v>
      </c>
      <c r="D102" s="191"/>
      <c r="E102" s="155" t="s">
        <v>224</v>
      </c>
      <c r="F102" s="203" t="s">
        <v>99</v>
      </c>
      <c r="G102" s="203"/>
      <c r="H102" s="138">
        <f>IF(F102="Yes",IF(C14&lt;=4999,Info!AB3*Info!AB10,IF(C12&lt;=5,Info!AB3*Info!AB10,Info!AB4*Info!AB10)),0)</f>
        <v>0</v>
      </c>
      <c r="I102" s="59"/>
    </row>
    <row r="103" spans="1:10" ht="78" customHeight="1">
      <c r="A103" s="190">
        <v>26</v>
      </c>
      <c r="B103" s="144" t="s">
        <v>41</v>
      </c>
      <c r="C103" s="191" t="s">
        <v>210</v>
      </c>
      <c r="D103" s="191"/>
      <c r="E103" s="154" t="s">
        <v>129</v>
      </c>
      <c r="F103" s="161" t="s">
        <v>101</v>
      </c>
      <c r="G103" s="161" t="s">
        <v>100</v>
      </c>
      <c r="H103" s="138">
        <f>IFERROR(F103*G103*Info!AC3,0)</f>
        <v>0</v>
      </c>
      <c r="I103" s="59"/>
      <c r="J103" s="2"/>
    </row>
    <row r="104" spans="1:10" ht="97.5" customHeight="1">
      <c r="A104" s="190"/>
      <c r="B104" s="140"/>
      <c r="C104" s="191" t="s">
        <v>211</v>
      </c>
      <c r="D104" s="191"/>
      <c r="E104" s="154" t="s">
        <v>130</v>
      </c>
      <c r="F104" s="161" t="s">
        <v>101</v>
      </c>
      <c r="G104" s="161" t="s">
        <v>108</v>
      </c>
      <c r="H104" s="138">
        <f>IFERROR(F104*G104*Info!AC4,0)</f>
        <v>0</v>
      </c>
      <c r="I104" s="59"/>
      <c r="J104" s="2"/>
    </row>
    <row r="105" spans="1:10" ht="41.25" customHeight="1" thickBot="1">
      <c r="A105" s="33">
        <v>27</v>
      </c>
      <c r="B105" s="145" t="s">
        <v>34</v>
      </c>
      <c r="C105" s="295" t="s">
        <v>212</v>
      </c>
      <c r="D105" s="295"/>
      <c r="E105" s="162" t="s">
        <v>131</v>
      </c>
      <c r="F105" s="268" t="s">
        <v>92</v>
      </c>
      <c r="G105" s="268"/>
      <c r="H105" s="139">
        <f>IFERROR(F105*Info!AD3,0)</f>
        <v>0</v>
      </c>
      <c r="I105" s="59"/>
      <c r="J105" s="2"/>
    </row>
    <row r="106" spans="1:10" s="121" customFormat="1" ht="24" customHeight="1" thickBot="1">
      <c r="A106" s="305" t="s">
        <v>175</v>
      </c>
      <c r="B106" s="306"/>
      <c r="C106" s="118"/>
      <c r="D106" s="118"/>
      <c r="E106" s="119"/>
      <c r="F106" s="271">
        <f>IF(C9="",0,SUM(H73:H105))</f>
        <v>0</v>
      </c>
      <c r="G106" s="272"/>
      <c r="H106" s="273"/>
      <c r="I106" s="120"/>
    </row>
    <row r="107" spans="1:10" ht="23.25">
      <c r="A107" s="293" t="s">
        <v>4</v>
      </c>
      <c r="B107" s="294"/>
      <c r="C107" s="296" t="s">
        <v>37</v>
      </c>
      <c r="D107" s="296"/>
      <c r="E107" s="149">
        <f>Info!AE3</f>
        <v>0.13</v>
      </c>
      <c r="F107" s="269"/>
      <c r="G107" s="270"/>
      <c r="H107" s="137">
        <f>IFERROR(((F106-H103-H104-H105)*Info!AE3)+(H103+H104+H105),0)</f>
        <v>0</v>
      </c>
      <c r="I107" s="59"/>
      <c r="J107" s="2"/>
    </row>
    <row r="108" spans="1:10" ht="23.25">
      <c r="A108" s="281" t="s">
        <v>5</v>
      </c>
      <c r="B108" s="282"/>
      <c r="C108" s="282"/>
      <c r="D108" s="283"/>
      <c r="E108" s="150" t="str">
        <f>CONCATENATE("$",Info!AF3," /deadline")</f>
        <v>$136 /deadline</v>
      </c>
      <c r="F108" s="252">
        <v>0</v>
      </c>
      <c r="G108" s="252"/>
      <c r="H108" s="138">
        <f>IFERROR(F108*Info!AF3,0)</f>
        <v>0</v>
      </c>
      <c r="I108" s="59"/>
      <c r="J108" s="2"/>
    </row>
    <row r="109" spans="1:10" ht="23.25">
      <c r="A109" s="284" t="s">
        <v>42</v>
      </c>
      <c r="B109" s="285"/>
      <c r="C109" s="285"/>
      <c r="D109" s="286"/>
      <c r="E109" s="151" t="str">
        <f>CONCATENATE(Info!AG4," /month")</f>
        <v>1.25% /month</v>
      </c>
      <c r="F109" s="252">
        <v>0</v>
      </c>
      <c r="G109" s="252"/>
      <c r="H109" s="138">
        <f>(SUM('Fee Schedule Tool'!H106:H108))*((Info!AG3)*F109)</f>
        <v>0</v>
      </c>
      <c r="I109" s="59"/>
      <c r="J109" s="2"/>
    </row>
    <row r="110" spans="1:10" ht="24" thickBot="1">
      <c r="A110" s="274" t="s">
        <v>6</v>
      </c>
      <c r="B110" s="275"/>
      <c r="C110" s="275"/>
      <c r="D110" s="276"/>
      <c r="E110" s="152" t="str">
        <f>CONCATENATE("$",Info!AH3,".00"," /chq")</f>
        <v>$40.00 /chq</v>
      </c>
      <c r="F110" s="267">
        <v>0</v>
      </c>
      <c r="G110" s="267"/>
      <c r="H110" s="139">
        <f>IFERROR(F110*Info!AH3,0)</f>
        <v>0</v>
      </c>
      <c r="I110" s="59"/>
      <c r="J110" s="2"/>
    </row>
    <row r="111" spans="1:10" s="136" customFormat="1" ht="36" thickBot="1">
      <c r="A111" s="307" t="s">
        <v>176</v>
      </c>
      <c r="B111" s="308"/>
      <c r="C111" s="133"/>
      <c r="D111" s="133"/>
      <c r="E111" s="134"/>
      <c r="F111" s="309">
        <f>IF(C9="",0,F106+SUM(H107:H110))</f>
        <v>0</v>
      </c>
      <c r="G111" s="310"/>
      <c r="H111" s="311"/>
      <c r="I111" s="135"/>
    </row>
    <row r="112" spans="1:10" s="109" customFormat="1" ht="15.75" customHeight="1">
      <c r="A112" s="108"/>
      <c r="B112" s="185"/>
      <c r="C112" s="185"/>
      <c r="D112" s="185"/>
      <c r="I112" s="176"/>
    </row>
    <row r="113" spans="1:10" s="109" customFormat="1" ht="15.75" customHeight="1">
      <c r="A113" s="182"/>
      <c r="B113" s="183"/>
      <c r="C113" s="183"/>
      <c r="D113" s="183"/>
      <c r="I113" s="184"/>
    </row>
    <row r="114" spans="1:10" s="168" customFormat="1" ht="15.75" customHeight="1">
      <c r="A114" s="164" t="s">
        <v>15</v>
      </c>
      <c r="B114" s="165"/>
      <c r="C114" s="165"/>
      <c r="D114" s="164"/>
      <c r="E114" s="164"/>
      <c r="F114" s="165"/>
      <c r="G114" s="165"/>
      <c r="H114" s="166"/>
      <c r="I114" s="167"/>
    </row>
    <row r="115" spans="1:10" s="169" customFormat="1" ht="15.75" customHeight="1">
      <c r="A115" s="108"/>
      <c r="B115" s="109" t="s">
        <v>16</v>
      </c>
      <c r="D115" s="170"/>
      <c r="E115" s="171"/>
      <c r="F115" s="172"/>
      <c r="G115" s="172"/>
      <c r="H115" s="172"/>
      <c r="I115" s="63"/>
    </row>
    <row r="116" spans="1:10" s="169" customFormat="1" ht="15.75" customHeight="1">
      <c r="A116" s="108"/>
      <c r="B116" s="109" t="s">
        <v>35</v>
      </c>
      <c r="D116" s="173"/>
      <c r="E116" s="174"/>
      <c r="I116" s="175"/>
    </row>
    <row r="117" spans="1:10" s="169" customFormat="1" ht="15.75" customHeight="1">
      <c r="A117" s="108"/>
      <c r="B117" s="109" t="s">
        <v>19</v>
      </c>
      <c r="D117" s="173"/>
      <c r="E117" s="176"/>
      <c r="F117" s="177"/>
      <c r="G117" s="177"/>
      <c r="H117" s="177"/>
      <c r="I117" s="177"/>
    </row>
    <row r="118" spans="1:10" s="169" customFormat="1" ht="15.75" customHeight="1">
      <c r="A118" s="108"/>
      <c r="B118" s="109" t="s">
        <v>20</v>
      </c>
      <c r="E118" s="178"/>
      <c r="F118" s="179"/>
      <c r="G118" s="179"/>
      <c r="H118" s="179"/>
      <c r="I118" s="180"/>
    </row>
    <row r="119" spans="1:10" s="169" customFormat="1" ht="15.75" customHeight="1">
      <c r="A119" s="108"/>
      <c r="B119" s="109" t="s">
        <v>17</v>
      </c>
      <c r="C119" s="109"/>
      <c r="D119" s="279"/>
      <c r="E119" s="178"/>
      <c r="F119" s="179"/>
      <c r="G119" s="179"/>
      <c r="H119" s="179"/>
      <c r="I119" s="180"/>
    </row>
    <row r="120" spans="1:10" s="169" customFormat="1" ht="15.75" customHeight="1">
      <c r="A120" s="108"/>
      <c r="B120" s="109" t="s">
        <v>18</v>
      </c>
      <c r="C120" s="109"/>
      <c r="D120" s="279"/>
      <c r="I120" s="181"/>
    </row>
    <row r="121" spans="1:10" s="169" customFormat="1" ht="15.75" customHeight="1">
      <c r="A121" s="108"/>
      <c r="B121" s="109" t="s">
        <v>215</v>
      </c>
      <c r="C121" s="109"/>
      <c r="D121" s="109"/>
      <c r="I121" s="181"/>
    </row>
    <row r="122" spans="1:10" s="169" customFormat="1" ht="15.75" customHeight="1">
      <c r="A122" s="108"/>
      <c r="B122" s="109" t="s">
        <v>21</v>
      </c>
      <c r="C122" s="109"/>
      <c r="D122" s="109"/>
      <c r="I122" s="181"/>
    </row>
    <row r="123" spans="1:10" s="169" customFormat="1" ht="15.75" customHeight="1">
      <c r="A123" s="108"/>
      <c r="B123" s="109"/>
      <c r="C123" s="109"/>
      <c r="D123" s="109"/>
      <c r="I123" s="181"/>
    </row>
    <row r="124" spans="1:10" s="169" customFormat="1" ht="15.75" customHeight="1">
      <c r="A124" s="187"/>
      <c r="B124" s="187"/>
      <c r="C124" s="109"/>
      <c r="I124" s="181"/>
    </row>
    <row r="125" spans="1:10" s="168" customFormat="1" ht="15.75" customHeight="1">
      <c r="A125" s="164" t="s">
        <v>7</v>
      </c>
      <c r="B125" s="165"/>
      <c r="C125" s="165"/>
      <c r="D125" s="164"/>
      <c r="E125" s="280"/>
      <c r="F125" s="280"/>
      <c r="G125" s="280"/>
      <c r="H125" s="280"/>
      <c r="I125" s="188"/>
      <c r="J125" s="166"/>
    </row>
    <row r="126" spans="1:10" s="169" customFormat="1" ht="15.75" customHeight="1">
      <c r="B126" s="171" t="s">
        <v>9</v>
      </c>
      <c r="C126" s="71"/>
      <c r="D126" s="71"/>
      <c r="I126" s="63"/>
    </row>
    <row r="127" spans="1:10" s="169" customFormat="1" ht="15.75" customHeight="1">
      <c r="B127" s="174" t="s">
        <v>123</v>
      </c>
      <c r="I127" s="175"/>
    </row>
    <row r="128" spans="1:10" s="169" customFormat="1" ht="15.75" customHeight="1">
      <c r="B128" s="176" t="s">
        <v>44</v>
      </c>
      <c r="C128" s="177"/>
      <c r="D128" s="177"/>
      <c r="I128" s="177"/>
    </row>
    <row r="129" spans="1:10" s="169" customFormat="1" ht="15.75" customHeight="1">
      <c r="B129" s="178" t="s">
        <v>45</v>
      </c>
      <c r="C129" s="179"/>
      <c r="D129" s="179"/>
      <c r="I129" s="180"/>
    </row>
    <row r="130" spans="1:10" s="169" customFormat="1" ht="15.75" customHeight="1">
      <c r="B130" s="178" t="s">
        <v>46</v>
      </c>
      <c r="C130" s="179"/>
      <c r="D130" s="179"/>
      <c r="I130" s="180"/>
    </row>
    <row r="131" spans="1:10" s="169" customFormat="1" ht="15.75" customHeight="1">
      <c r="I131" s="181"/>
    </row>
    <row r="132" spans="1:10" s="169" customFormat="1" ht="15.75" customHeight="1">
      <c r="B132" s="189" t="s">
        <v>216</v>
      </c>
      <c r="I132" s="181"/>
    </row>
    <row r="133" spans="1:10" s="169" customFormat="1" ht="15.75" customHeight="1">
      <c r="A133" s="189"/>
      <c r="I133" s="181"/>
    </row>
    <row r="134" spans="1:10" s="109" customFormat="1" ht="15.75" customHeight="1">
      <c r="A134" s="108"/>
      <c r="B134" s="185"/>
      <c r="C134" s="185"/>
      <c r="D134" s="185"/>
      <c r="I134" s="176"/>
      <c r="J134" s="169"/>
    </row>
    <row r="135" spans="1:10" s="186" customFormat="1" ht="15.75" customHeight="1">
      <c r="A135" s="164" t="s">
        <v>115</v>
      </c>
      <c r="B135" s="166"/>
      <c r="C135" s="165"/>
      <c r="D135" s="166"/>
      <c r="E135" s="164"/>
      <c r="F135" s="165"/>
      <c r="G135" s="165"/>
      <c r="H135" s="166"/>
      <c r="I135" s="188"/>
    </row>
    <row r="136" spans="1:10" s="169" customFormat="1" ht="15.75" customHeight="1">
      <c r="A136" s="170" t="s">
        <v>116</v>
      </c>
      <c r="E136" s="62"/>
      <c r="F136" s="71"/>
      <c r="G136" s="71"/>
      <c r="H136" s="71"/>
      <c r="I136" s="63"/>
    </row>
    <row r="137" spans="1:10" s="169" customFormat="1" ht="15.75" customHeight="1">
      <c r="A137" s="173" t="s">
        <v>117</v>
      </c>
      <c r="E137" s="174"/>
      <c r="I137" s="175"/>
    </row>
    <row r="138" spans="1:10" s="169" customFormat="1" ht="15.75" customHeight="1">
      <c r="A138" s="173" t="s">
        <v>118</v>
      </c>
      <c r="E138" s="176"/>
      <c r="F138" s="177"/>
      <c r="G138" s="177"/>
      <c r="H138" s="177"/>
      <c r="I138" s="177"/>
    </row>
    <row r="139" spans="1:10" s="169" customFormat="1" ht="15.75" customHeight="1">
      <c r="E139" s="178"/>
      <c r="F139" s="179"/>
      <c r="G139" s="179"/>
      <c r="H139" s="179"/>
      <c r="I139" s="180"/>
    </row>
    <row r="140" spans="1:10" s="169" customFormat="1" ht="15.75" customHeight="1">
      <c r="A140" s="187" t="s">
        <v>184</v>
      </c>
      <c r="B140" s="187"/>
      <c r="C140" s="109"/>
      <c r="E140" s="178"/>
      <c r="F140" s="179"/>
      <c r="G140" s="179"/>
      <c r="H140" s="179"/>
      <c r="I140" s="180"/>
    </row>
    <row r="141" spans="1:10" s="169" customFormat="1" ht="15.75" customHeight="1">
      <c r="A141" s="187"/>
      <c r="B141" s="187"/>
      <c r="C141" s="109"/>
      <c r="E141" s="178"/>
      <c r="F141" s="179"/>
      <c r="G141" s="179"/>
      <c r="H141" s="179"/>
      <c r="I141" s="180"/>
    </row>
    <row r="142" spans="1:10" s="109" customFormat="1" ht="15.75" customHeight="1">
      <c r="A142" s="108"/>
      <c r="B142" s="185"/>
      <c r="C142" s="185"/>
      <c r="D142" s="185"/>
      <c r="I142" s="176"/>
      <c r="J142" s="169"/>
    </row>
    <row r="143" spans="1:10" hidden="1"/>
    <row r="144" spans="1:10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</sheetData>
  <sheetProtection password="BC30" sheet="1" objects="1" scenarios="1" insertHyperlinks="0" selectLockedCells="1"/>
  <dataConsolidate/>
  <mergeCells count="106">
    <mergeCell ref="H75:H76"/>
    <mergeCell ref="D119:D120"/>
    <mergeCell ref="E125:H125"/>
    <mergeCell ref="A108:D108"/>
    <mergeCell ref="A109:D109"/>
    <mergeCell ref="C75:D75"/>
    <mergeCell ref="D10:H10"/>
    <mergeCell ref="D12:H12"/>
    <mergeCell ref="D13:H13"/>
    <mergeCell ref="D14:H14"/>
    <mergeCell ref="D29:H29"/>
    <mergeCell ref="D30:H30"/>
    <mergeCell ref="A107:B107"/>
    <mergeCell ref="C105:D105"/>
    <mergeCell ref="C107:D107"/>
    <mergeCell ref="F73:G73"/>
    <mergeCell ref="F75:G76"/>
    <mergeCell ref="F74:G74"/>
    <mergeCell ref="F77:G77"/>
    <mergeCell ref="C84:D84"/>
    <mergeCell ref="C85:D85"/>
    <mergeCell ref="A106:B106"/>
    <mergeCell ref="A111:B111"/>
    <mergeCell ref="F111:H111"/>
    <mergeCell ref="F110:G110"/>
    <mergeCell ref="F105:G105"/>
    <mergeCell ref="F107:G107"/>
    <mergeCell ref="F108:G108"/>
    <mergeCell ref="F106:H106"/>
    <mergeCell ref="A110:D110"/>
    <mergeCell ref="F99:G99"/>
    <mergeCell ref="F100:G100"/>
    <mergeCell ref="F97:G97"/>
    <mergeCell ref="A103:A104"/>
    <mergeCell ref="C102:D102"/>
    <mergeCell ref="C103:D103"/>
    <mergeCell ref="A100:A101"/>
    <mergeCell ref="A98:A99"/>
    <mergeCell ref="C101:D101"/>
    <mergeCell ref="C104:D104"/>
    <mergeCell ref="C96:D96"/>
    <mergeCell ref="C100:D100"/>
    <mergeCell ref="C97:D97"/>
    <mergeCell ref="C98:D98"/>
    <mergeCell ref="C99:D99"/>
    <mergeCell ref="F109:G109"/>
    <mergeCell ref="F96:G96"/>
    <mergeCell ref="F88:G88"/>
    <mergeCell ref="C95:D95"/>
    <mergeCell ref="F101:G101"/>
    <mergeCell ref="F102:G102"/>
    <mergeCell ref="F98:G98"/>
    <mergeCell ref="F95:G95"/>
    <mergeCell ref="A3:H3"/>
    <mergeCell ref="B8:C8"/>
    <mergeCell ref="B67:H67"/>
    <mergeCell ref="B68:H69"/>
    <mergeCell ref="D64:H65"/>
    <mergeCell ref="D9:H9"/>
    <mergeCell ref="B18:C18"/>
    <mergeCell ref="B26:C26"/>
    <mergeCell ref="B63:C63"/>
    <mergeCell ref="B5:H5"/>
    <mergeCell ref="B6:H6"/>
    <mergeCell ref="D11:H11"/>
    <mergeCell ref="D19:H24"/>
    <mergeCell ref="F72:G72"/>
    <mergeCell ref="F94:G94"/>
    <mergeCell ref="A70:H70"/>
    <mergeCell ref="C82:D82"/>
    <mergeCell ref="A71:H71"/>
    <mergeCell ref="A72:B72"/>
    <mergeCell ref="C79:D79"/>
    <mergeCell ref="C90:D90"/>
    <mergeCell ref="C91:D91"/>
    <mergeCell ref="C93:D93"/>
    <mergeCell ref="C94:D94"/>
    <mergeCell ref="F89:G89"/>
    <mergeCell ref="C81:D81"/>
    <mergeCell ref="C76:D76"/>
    <mergeCell ref="C77:D77"/>
    <mergeCell ref="C78:D78"/>
    <mergeCell ref="B75:B76"/>
    <mergeCell ref="F91:G91"/>
    <mergeCell ref="C92:D92"/>
    <mergeCell ref="F90:G90"/>
    <mergeCell ref="C89:D89"/>
    <mergeCell ref="E75:E76"/>
    <mergeCell ref="F80:G80"/>
    <mergeCell ref="F79:G79"/>
    <mergeCell ref="F82:G82"/>
    <mergeCell ref="F83:G83"/>
    <mergeCell ref="F84:G84"/>
    <mergeCell ref="F85:G85"/>
    <mergeCell ref="F81:G81"/>
    <mergeCell ref="C86:D86"/>
    <mergeCell ref="C87:D87"/>
    <mergeCell ref="A75:A76"/>
    <mergeCell ref="C83:D83"/>
    <mergeCell ref="C73:D73"/>
    <mergeCell ref="C74:D74"/>
    <mergeCell ref="F92:G92"/>
    <mergeCell ref="F93:G93"/>
    <mergeCell ref="F87:G87"/>
    <mergeCell ref="F86:G86"/>
    <mergeCell ref="F78:G78"/>
  </mergeCells>
  <conditionalFormatting sqref="F108:G110">
    <cfRule type="cellIs" dxfId="26" priority="67" operator="equal">
      <formula>0</formula>
    </cfRule>
  </conditionalFormatting>
  <conditionalFormatting sqref="C16">
    <cfRule type="cellIs" dxfId="25" priority="65" operator="equal">
      <formula>0</formula>
    </cfRule>
  </conditionalFormatting>
  <conditionalFormatting sqref="C22">
    <cfRule type="cellIs" dxfId="24" priority="63" operator="lessThan">
      <formula>$C$21</formula>
    </cfRule>
  </conditionalFormatting>
  <conditionalFormatting sqref="C24">
    <cfRule type="cellIs" dxfId="23" priority="62" operator="lessThan">
      <formula>$C$23</formula>
    </cfRule>
  </conditionalFormatting>
  <conditionalFormatting sqref="C32">
    <cfRule type="cellIs" dxfId="22" priority="57" operator="lessThan">
      <formula>C31</formula>
    </cfRule>
  </conditionalFormatting>
  <conditionalFormatting sqref="C37">
    <cfRule type="cellIs" dxfId="21" priority="55" operator="lessThan">
      <formula>$C$36</formula>
    </cfRule>
  </conditionalFormatting>
  <conditionalFormatting sqref="C43">
    <cfRule type="cellIs" dxfId="20" priority="51" operator="lessThan">
      <formula>$C$42</formula>
    </cfRule>
  </conditionalFormatting>
  <conditionalFormatting sqref="C15">
    <cfRule type="cellIs" dxfId="19" priority="40" operator="equal">
      <formula>0</formula>
    </cfRule>
  </conditionalFormatting>
  <conditionalFormatting sqref="C31">
    <cfRule type="cellIs" dxfId="18" priority="69" operator="lessThan">
      <formula>$C$29</formula>
    </cfRule>
  </conditionalFormatting>
  <conditionalFormatting sqref="C40">
    <cfRule type="cellIs" dxfId="17" priority="72" operator="lessThan">
      <formula>$C$38</formula>
    </cfRule>
  </conditionalFormatting>
  <conditionalFormatting sqref="C30">
    <cfRule type="cellIs" dxfId="16" priority="30" operator="lessThan">
      <formula>$C$28</formula>
    </cfRule>
  </conditionalFormatting>
  <conditionalFormatting sqref="B68">
    <cfRule type="cellIs" dxfId="15" priority="23" operator="lessThan">
      <formula>$C$64</formula>
    </cfRule>
  </conditionalFormatting>
  <conditionalFormatting sqref="C20 C46 C55">
    <cfRule type="cellIs" dxfId="14" priority="22" operator="lessThan">
      <formula>C19</formula>
    </cfRule>
  </conditionalFormatting>
  <conditionalFormatting sqref="C28">
    <cfRule type="cellIs" dxfId="13" priority="21" operator="lessThan">
      <formula>C27</formula>
    </cfRule>
  </conditionalFormatting>
  <conditionalFormatting sqref="C65">
    <cfRule type="cellIs" dxfId="12" priority="20" operator="lessThan">
      <formula>C64</formula>
    </cfRule>
  </conditionalFormatting>
  <conditionalFormatting sqref="C48">
    <cfRule type="cellIs" dxfId="11" priority="19" operator="lessThan">
      <formula>$C$46</formula>
    </cfRule>
  </conditionalFormatting>
  <conditionalFormatting sqref="C41">
    <cfRule type="cellIs" dxfId="10" priority="18" operator="lessThan">
      <formula>C39</formula>
    </cfRule>
  </conditionalFormatting>
  <conditionalFormatting sqref="C34">
    <cfRule type="cellIs" dxfId="9" priority="16" operator="lessThan">
      <formula>$C$33</formula>
    </cfRule>
  </conditionalFormatting>
  <conditionalFormatting sqref="C49">
    <cfRule type="cellIs" dxfId="8" priority="15" operator="lessThan">
      <formula>$C$47</formula>
    </cfRule>
  </conditionalFormatting>
  <conditionalFormatting sqref="C61">
    <cfRule type="cellIs" dxfId="7" priority="10" operator="lessThan">
      <formula>$C$60</formula>
    </cfRule>
  </conditionalFormatting>
  <conditionalFormatting sqref="C60">
    <cfRule type="cellIs" dxfId="6" priority="9" operator="lessThan">
      <formula>$C$59</formula>
    </cfRule>
  </conditionalFormatting>
  <conditionalFormatting sqref="C57">
    <cfRule type="cellIs" dxfId="5" priority="8" operator="lessThan">
      <formula>$C$55</formula>
    </cfRule>
  </conditionalFormatting>
  <conditionalFormatting sqref="C58">
    <cfRule type="cellIs" dxfId="4" priority="6" operator="lessThan">
      <formula>$C$56</formula>
    </cfRule>
  </conditionalFormatting>
  <conditionalFormatting sqref="C52">
    <cfRule type="cellIs" dxfId="3" priority="5" operator="lessThan">
      <formula>$C$51</formula>
    </cfRule>
  </conditionalFormatting>
  <conditionalFormatting sqref="C50">
    <cfRule type="cellIs" dxfId="2" priority="4" operator="lessThan">
      <formula>$C$48</formula>
    </cfRule>
    <cfRule type="cellIs" dxfId="1" priority="3" operator="lessThan">
      <formula>$C$49</formula>
    </cfRule>
  </conditionalFormatting>
  <conditionalFormatting sqref="C59">
    <cfRule type="cellIs" priority="2" operator="lessThan">
      <formula>$C$58</formula>
    </cfRule>
  </conditionalFormatting>
  <conditionalFormatting sqref="C39">
    <cfRule type="cellIs" dxfId="0" priority="1" operator="lessThan">
      <formula>$C$37</formula>
    </cfRule>
  </conditionalFormatting>
  <dataValidations count="10">
    <dataValidation type="whole" allowBlank="1" showInputMessage="1" showErrorMessage="1" sqref="C14">
      <formula1>1</formula1>
      <formula2>200000</formula2>
    </dataValidation>
    <dataValidation type="whole" operator="greaterThan" allowBlank="1" showInputMessage="1" showErrorMessage="1" sqref="D15:D16 C15">
      <formula1>0</formula1>
    </dataValidation>
    <dataValidation type="list" allowBlank="1" showInputMessage="1" showErrorMessage="1" sqref="F95:F97 F102 F91">
      <formula1>"Yes, No"</formula1>
    </dataValidation>
    <dataValidation type="whole" allowBlank="1" showInputMessage="1" showErrorMessage="1" error="Minimum 3 hours to 8 hours" sqref="F98:F99">
      <formula1>3</formula1>
      <formula2>8</formula2>
    </dataValidation>
    <dataValidation type="whole" allowBlank="1" showInputMessage="1" showErrorMessage="1" error="Cannot exceed 75 vendors" sqref="C10">
      <formula1>1</formula1>
      <formula2>75</formula2>
    </dataValidation>
    <dataValidation type="whole" allowBlank="1" showInputMessage="1" showErrorMessage="1" sqref="C13">
      <formula1>1</formula1>
      <formula2>100000</formula2>
    </dataValidation>
    <dataValidation type="whole" allowBlank="1" showInputMessage="1" showErrorMessage="1" error="Cannot exceed 75 food vendors" sqref="C11">
      <formula1>1</formula1>
      <formula2>75</formula2>
    </dataValidation>
    <dataValidation type="whole" allowBlank="1" showInputMessage="1" showErrorMessage="1" sqref="F78:G78 F94:G94">
      <formula1>0</formula1>
      <formula2>100</formula2>
    </dataValidation>
    <dataValidation type="whole" errorStyle="warning" allowBlank="1" showInputMessage="1" showErrorMessage="1" sqref="C12">
      <formula1>1</formula1>
      <formula2>200</formula2>
    </dataValidation>
    <dataValidation type="list" allowBlank="1" showInputMessage="1" showErrorMessage="1" sqref="C22">
      <formula1>OFFSET($AJ$3,MATCH(C21,$AJ$3:$AJ$58,0),0,COUNTIF($AJ$3:$AJ$58,"&gt;="&amp;C21),1)</formula1>
    </dataValidation>
  </dataValidations>
  <hyperlinks>
    <hyperlink ref="D9" r:id="rId1" display="Community Groups and Affiliates have applied and been approved for formal recognition through the City's Community Group Support Program [LINK]"/>
  </hyperlinks>
  <pageMargins left="0.23622047244094491" right="0.23622047244094491" top="0.19685039370078741" bottom="0.29527559055118113" header="0.19685039370078741" footer="0.19685039370078741"/>
  <pageSetup scale="40" fitToHeight="0" orientation="portrait" r:id="rId2"/>
  <headerFooter>
    <oddFooter>&amp;L&amp;"Gotham Book,Regular"&amp;D&amp;C&amp;"Gotham Book,Regular"&amp;P</oddFooter>
    <firstFooter>&amp;L&amp;D&amp;C&amp;P</firstFooter>
  </headerFooter>
  <rowBreaks count="2" manualBreakCount="2">
    <brk id="69" max="16383" man="1"/>
    <brk id="87" max="16383" man="1"/>
  </rowBreaks>
  <ignoredErrors>
    <ignoredError sqref="E91" numberStoredAsText="1"/>
  </ignoredError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Info!$A$3:$A$6</xm:f>
          </x14:formula1>
          <xm:sqref>C9</xm:sqref>
        </x14:dataValidation>
        <x14:dataValidation type="list" allowBlank="1" showInputMessage="1" showErrorMessage="1">
          <x14:formula1>
            <xm:f>Info!$AJ$3:$AJ$51</xm:f>
          </x14:formula1>
          <xm:sqref>C23</xm:sqref>
        </x14:dataValidation>
        <x14:dataValidation type="list" allowBlank="1" showInputMessage="1" showErrorMessage="1">
          <x14:formula1>
            <xm:f>OFFSET(Info!$AJ$2,MATCH(C19,Info!$AJ$3:$AJ$58,0)+1,0,COUNTIF(Info!$AJ$3:$AJ$58,"&gt;="&amp;C19),1)</xm:f>
          </x14:formula1>
          <xm:sqref>C37 C55 C46 C20 C28 C65</xm:sqref>
        </x14:dataValidation>
        <x14:dataValidation type="list" allowBlank="1" showInputMessage="1" showErrorMessage="1">
          <x14:formula1>
            <xm:f>OFFSET(Info!$AJ$2,MATCH(C33,Info!$AJ$2:$AJ$56,0),0,COUNTIF(Info!$AJ$2:$AJ$56,"&gt;="&amp;C33),1)</xm:f>
          </x14:formula1>
          <xm:sqref>C43 C34 C52 C61</xm:sqref>
        </x14:dataValidation>
        <x14:dataValidation type="list" allowBlank="1" showInputMessage="1" showErrorMessage="1">
          <x14:formula1>
            <xm:f>OFFSET(Info!$AJ$3,MATCH(C23,Info!$AJ$3:$AJ$58,0),0,COUNTIF(Info!$AJ$3:$AJ$58,"&gt;="&amp;C23),1)</xm:f>
          </x14:formula1>
          <xm:sqref>C24</xm:sqref>
        </x14:dataValidation>
        <x14:dataValidation type="list" allowBlank="1" showInputMessage="1" showErrorMessage="1">
          <x14:formula1>
            <xm:f>Info!$AJ$3:$AJ$50</xm:f>
          </x14:formula1>
          <xm:sqref>C19 C45 C27 C36 C54 C64</xm:sqref>
        </x14:dataValidation>
        <x14:dataValidation type="list" allowBlank="1" showInputMessage="1" showErrorMessage="1">
          <x14:formula1>
            <xm:f>Info!$AJ$3:$AJ$49</xm:f>
          </x14:formula1>
          <xm:sqref>C21</xm:sqref>
        </x14:dataValidation>
        <x14:dataValidation type="list" allowBlank="1" showInputMessage="1" showErrorMessage="1">
          <x14:formula1>
            <xm:f>OFFSET(Info!$AJ$2,MATCH(C28,Info!$AJ$3:$AJ$58,0),0,COUNTIF(Info!$AJ$3:$AJ$58,"&gt;="&amp;C28)+1,1)</xm:f>
          </x14:formula1>
          <xm:sqref>C30 C39 C48 C57</xm:sqref>
        </x14:dataValidation>
        <x14:dataValidation type="list" allowBlank="1" showInputMessage="1" showErrorMessage="1">
          <x14:formula1>
            <xm:f>Info!$AJ$3:$AJ$56</xm:f>
          </x14:formula1>
          <xm:sqref>C29 C38 C47 C56</xm:sqref>
        </x14:dataValidation>
        <x14:dataValidation type="list" allowBlank="1" showInputMessage="1" showErrorMessage="1">
          <x14:formula1>
            <xm:f>OFFSET(Info!$AJ$2,MATCH(C29,Info!$AJ$2:$AJ$56,0),0,COUNTIF(Info!$AJ$2:$AJ$56,"&gt;"&amp;C29),1)</xm:f>
          </x14:formula1>
          <xm:sqref>C31</xm:sqref>
        </x14:dataValidation>
        <x14:dataValidation type="list" allowBlank="1" showInputMessage="1" showErrorMessage="1">
          <x14:formula1>
            <xm:f>OFFSET(Info!$AJ$2,MATCH(C30,Info!$AJ$2:$AJ$56,0),0,COUNTIF(Info!$AJ$2:$AJ$56,"&gt;="&amp;C30),1)</xm:f>
          </x14:formula1>
          <xm:sqref>C32 C41 C50 C59</xm:sqref>
        </x14:dataValidation>
        <x14:dataValidation type="list" allowBlank="1" showInputMessage="1" showErrorMessage="1">
          <x14:formula1>
            <xm:f>OFFSET(Info!$AJ$2,MATCH(C32,Info!$AJ$2:$AJ$56,0)-1,0,COUNTIF(Info!$AJ$2:$AJ$56,"&gt;="&amp;C32),1)</xm:f>
          </x14:formula1>
          <xm:sqref>C33</xm:sqref>
        </x14:dataValidation>
        <x14:dataValidation type="list" allowBlank="1" showInputMessage="1" showErrorMessage="1">
          <x14:formula1>
            <xm:f>OFFSET(Info!$AJ$2,MATCH(C41,Info!$AJ$3:$AJ$58,0),0,COUNTIF(Info!$AJ$3:$AJ$58,"&gt;="&amp;C41),1)</xm:f>
          </x14:formula1>
          <xm:sqref>C42 C51 C60</xm:sqref>
        </x14:dataValidation>
        <x14:dataValidation type="list" allowBlank="1" showInputMessage="1" showErrorMessage="1">
          <x14:formula1>
            <xm:f>OFFSET(Info!$AJ$2,MATCH(C38,Info!$AJ$3:$AJ$58,0)+1,0,COUNTIF(Info!$AJ$3:$AJ$58,"&gt;"&amp;C38),1)</xm:f>
          </x14:formula1>
          <xm:sqref>C40 C49 C58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Q60"/>
  <sheetViews>
    <sheetView showGridLines="0" topLeftCell="AR1" zoomScale="81" zoomScaleNormal="81" workbookViewId="0">
      <selection activeCell="AU2" sqref="AU2"/>
    </sheetView>
  </sheetViews>
  <sheetFormatPr defaultColWidth="9.140625" defaultRowHeight="15"/>
  <cols>
    <col min="1" max="1" width="60.5703125" style="19" hidden="1" customWidth="1"/>
    <col min="2" max="2" width="16.140625" style="19" hidden="1" customWidth="1"/>
    <col min="3" max="3" width="13.140625" style="19" hidden="1" customWidth="1"/>
    <col min="4" max="5" width="18.85546875" style="19" hidden="1" customWidth="1"/>
    <col min="6" max="6" width="16.28515625" style="19" hidden="1" customWidth="1"/>
    <col min="7" max="7" width="17.140625" style="19" hidden="1" customWidth="1"/>
    <col min="8" max="8" width="13" style="19" hidden="1" customWidth="1"/>
    <col min="9" max="9" width="18.85546875" style="19" hidden="1" customWidth="1"/>
    <col min="10" max="10" width="17" style="19" hidden="1" customWidth="1"/>
    <col min="11" max="11" width="13.7109375" style="19" hidden="1" customWidth="1"/>
    <col min="12" max="12" width="16.28515625" style="19" hidden="1" customWidth="1"/>
    <col min="13" max="13" width="22.42578125" style="19" hidden="1" customWidth="1"/>
    <col min="14" max="14" width="18.42578125" style="19" hidden="1" customWidth="1"/>
    <col min="15" max="15" width="18.85546875" style="19" hidden="1" customWidth="1"/>
    <col min="16" max="16" width="16.7109375" style="19" hidden="1" customWidth="1"/>
    <col min="17" max="17" width="18" style="19" hidden="1" customWidth="1"/>
    <col min="18" max="18" width="17.85546875" style="19" hidden="1" customWidth="1"/>
    <col min="19" max="19" width="9.85546875" style="19" hidden="1" customWidth="1"/>
    <col min="20" max="20" width="17.85546875" style="19" hidden="1" customWidth="1"/>
    <col min="21" max="21" width="19.42578125" style="19" hidden="1" customWidth="1"/>
    <col min="22" max="22" width="18.42578125" style="19" hidden="1" customWidth="1"/>
    <col min="23" max="23" width="14.28515625" style="19" hidden="1" customWidth="1"/>
    <col min="24" max="24" width="29.28515625" style="19" hidden="1" customWidth="1"/>
    <col min="25" max="27" width="18.28515625" style="19" hidden="1" customWidth="1"/>
    <col min="28" max="28" width="18.42578125" style="19" hidden="1" customWidth="1"/>
    <col min="29" max="29" width="15.7109375" style="19" hidden="1" customWidth="1"/>
    <col min="30" max="31" width="14.28515625" style="19" hidden="1" customWidth="1"/>
    <col min="32" max="32" width="16.42578125" style="19" hidden="1" customWidth="1"/>
    <col min="33" max="33" width="13.140625" style="19" hidden="1" customWidth="1"/>
    <col min="34" max="34" width="14.140625" style="19" hidden="1" customWidth="1"/>
    <col min="35" max="35" width="9.140625" style="19" hidden="1" customWidth="1"/>
    <col min="36" max="36" width="14.85546875" style="32" hidden="1" customWidth="1"/>
    <col min="37" max="38" width="9.140625" style="19" hidden="1" customWidth="1"/>
    <col min="39" max="39" width="11.5703125" style="19" hidden="1" customWidth="1"/>
    <col min="40" max="43" width="9.140625" style="19" hidden="1" customWidth="1"/>
    <col min="44" max="82" width="9.140625" style="19" customWidth="1"/>
    <col min="83" max="16384" width="9.140625" style="19"/>
  </cols>
  <sheetData>
    <row r="1" spans="1:39" ht="47.25">
      <c r="A1" s="40" t="str">
        <f>'Fee Schedule Tool'!B9</f>
        <v>Organizer status</v>
      </c>
      <c r="B1" s="51" t="str">
        <f>'Fee Schedule Tool'!B73</f>
        <v>Administration</v>
      </c>
      <c r="C1" s="51" t="str">
        <f>'Fee Schedule Tool'!B74</f>
        <v>MCS Permit</v>
      </c>
      <c r="D1" s="51" t="s">
        <v>43</v>
      </c>
      <c r="E1" s="51" t="str">
        <f>'Fee Schedule Tool'!B77</f>
        <v>Main Stage &amp; Screen set-up</v>
      </c>
      <c r="F1" s="51" t="s">
        <v>27</v>
      </c>
      <c r="G1" s="51" t="str">
        <f>'Fee Schedule Tool'!B79</f>
        <v>Umbrella set-up</v>
      </c>
      <c r="H1" s="51" t="str">
        <f>'Fee Schedule Tool'!B81</f>
        <v>MCS Onsite Coordinator</v>
      </c>
      <c r="I1" s="51" t="str">
        <f>'Fee Schedule Tool'!B82</f>
        <v>Technical Support</v>
      </c>
      <c r="J1" s="51" t="str">
        <f>'Fee Schedule Tool'!B83</f>
        <v>Building Service Technician</v>
      </c>
      <c r="K1" s="51" t="str">
        <f>'Fee Schedule Tool'!B84</f>
        <v>2 Custodians</v>
      </c>
      <c r="L1" s="51" t="str">
        <f>'Fee Schedule Tool'!B85</f>
        <v>Post-event site cleaning</v>
      </c>
      <c r="M1" s="51" t="str">
        <f>'Fee Schedule Tool'!B86</f>
        <v>Garbage Dumpster</v>
      </c>
      <c r="N1" s="51" t="str">
        <f>'Fee Schedule Tool'!B87</f>
        <v>Garbage Disposal ESTIMATE</v>
      </c>
      <c r="O1" s="51" t="str">
        <f>'Fee Schedule Tool'!B89</f>
        <v>Tech Supervisor / Video Board Operator</v>
      </c>
      <c r="P1" s="51" t="str">
        <f>'Fee Schedule Tool'!B90</f>
        <v>Tech Support</v>
      </c>
      <c r="Q1" s="51" t="str">
        <f>'Fee Schedule Tool'!B91</f>
        <v>Show Hard Drive</v>
      </c>
      <c r="R1" s="51" t="str">
        <f>'Fee Schedule Tool'!B92</f>
        <v>Rental/Purchase Surcharge</v>
      </c>
      <c r="S1" s="51" t="str">
        <f>'Fee Schedule Tool'!B93</f>
        <v>Garbage/Recycling Bags</v>
      </c>
      <c r="T1" s="51" t="str">
        <f>'Fee Schedule Tool'!B94</f>
        <v>Additional picnic tables</v>
      </c>
      <c r="U1" s="51" t="str">
        <f>'Fee Schedule Tool'!B95</f>
        <v>Picnic table set up</v>
      </c>
      <c r="V1" s="51" t="str">
        <f>'Fee Schedule Tool'!B96</f>
        <v>Barricades set up</v>
      </c>
      <c r="W1" s="51" t="str">
        <f>'Fee Schedule Tool'!B97</f>
        <v>White picket fence set up</v>
      </c>
      <c r="X1" s="51" t="str">
        <f>'Fee Schedule Tool'!B98</f>
        <v xml:space="preserve">Central Library 
Classrooms 1 - 5 </v>
      </c>
      <c r="Y1" s="51" t="str">
        <f>'Fee Schedule Tool'!B98</f>
        <v xml:space="preserve">Central Library 
Classrooms 1 - 5 </v>
      </c>
      <c r="Z1" s="51" t="str">
        <f>'Fee Schedule Tool'!B100</f>
        <v>Noel Ryan Auditorium</v>
      </c>
      <c r="AA1" s="51" t="str">
        <f>'Fee Schedule Tool'!B100</f>
        <v>Noel Ryan Auditorium</v>
      </c>
      <c r="AB1" s="51" t="str">
        <f>'Fee Schedule Tool'!B102</f>
        <v>During event site cleaning</v>
      </c>
      <c r="AC1" s="51" t="str">
        <f>'Fee Schedule Tool'!B103</f>
        <v>Street Parking</v>
      </c>
      <c r="AD1" s="51" t="str">
        <f>'Fee Schedule Tool'!B105</f>
        <v>Underground Parking</v>
      </c>
      <c r="AE1" s="52" t="str">
        <f>'Fee Schedule Tool'!A107</f>
        <v>HST</v>
      </c>
      <c r="AF1" s="52" t="str">
        <f>'Fee Schedule Tool'!A108</f>
        <v>Late Use Charge / Penalty</v>
      </c>
      <c r="AG1" s="52" t="str">
        <f>'Fee Schedule Tool'!A109</f>
        <v>Late Payment Interest</v>
      </c>
      <c r="AH1" s="52" t="str">
        <f>'Fee Schedule Tool'!A110</f>
        <v>Non-Sufficient Funds (NSF) Charge</v>
      </c>
      <c r="AI1" s="17"/>
      <c r="AJ1" s="41" t="s">
        <v>98</v>
      </c>
    </row>
    <row r="2" spans="1:39" ht="115.5" customHeight="1">
      <c r="A2" s="15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5"/>
      <c r="U2" s="16"/>
      <c r="V2" s="16"/>
      <c r="W2" s="16"/>
      <c r="X2" s="53" t="str">
        <f>'Fee Schedule Tool'!C100</f>
        <v>OPTIONAL
Monday-Friday
3 hour minimum, may require additional tech staff support</v>
      </c>
      <c r="Y2" s="53" t="str">
        <f>'Fee Schedule Tool'!C101</f>
        <v>OPTIONAL
Holidays and weekends
3 hour minimum, may require additional tech staff support</v>
      </c>
      <c r="Z2" s="53" t="str">
        <f>'Fee Schedule Tool'!C100</f>
        <v>OPTIONAL
Monday-Friday
3 hour minimum, may require additional tech staff support</v>
      </c>
      <c r="AA2" s="53" t="str">
        <f>'Fee Schedule Tool'!C101</f>
        <v>OPTIONAL
Holidays and weekends
3 hour minimum, may require additional tech staff support</v>
      </c>
      <c r="AB2" s="16"/>
      <c r="AC2" s="16"/>
      <c r="AD2" s="16"/>
      <c r="AE2" s="17"/>
      <c r="AF2" s="17"/>
      <c r="AG2" s="17"/>
      <c r="AH2" s="17"/>
      <c r="AI2" s="17"/>
      <c r="AJ2" s="18"/>
      <c r="AM2" s="58"/>
    </row>
    <row r="3" spans="1:39">
      <c r="A3" s="55" t="s">
        <v>109</v>
      </c>
      <c r="B3" s="36">
        <v>77</v>
      </c>
      <c r="C3" s="37">
        <v>139.47999999999999</v>
      </c>
      <c r="D3" s="37">
        <v>0</v>
      </c>
      <c r="E3" s="37">
        <v>1730.77</v>
      </c>
      <c r="F3" s="38">
        <v>503.34</v>
      </c>
      <c r="G3" s="37">
        <v>147.36000000000001</v>
      </c>
      <c r="H3" s="36">
        <v>49.29</v>
      </c>
      <c r="I3" s="36">
        <v>244</v>
      </c>
      <c r="J3" s="36">
        <v>65</v>
      </c>
      <c r="K3" s="36">
        <v>35</v>
      </c>
      <c r="L3" s="36">
        <v>640</v>
      </c>
      <c r="M3" s="36">
        <v>75</v>
      </c>
      <c r="N3" s="36">
        <v>49.5</v>
      </c>
      <c r="O3" s="36">
        <v>47</v>
      </c>
      <c r="P3" s="36">
        <v>25</v>
      </c>
      <c r="Q3" s="36">
        <v>150</v>
      </c>
      <c r="R3" s="39">
        <v>1.1000000000000001</v>
      </c>
      <c r="S3" s="36">
        <v>26.65</v>
      </c>
      <c r="T3" s="36">
        <v>294.7</v>
      </c>
      <c r="U3" s="36">
        <v>147.36000000000001</v>
      </c>
      <c r="V3" s="36">
        <v>147.36000000000001</v>
      </c>
      <c r="W3" s="36">
        <v>147.36000000000001</v>
      </c>
      <c r="X3" s="36">
        <v>22.95</v>
      </c>
      <c r="Y3" s="36">
        <v>30.52</v>
      </c>
      <c r="Z3" s="36">
        <v>105.48</v>
      </c>
      <c r="AA3" s="36">
        <v>125.42</v>
      </c>
      <c r="AB3" s="36">
        <v>160</v>
      </c>
      <c r="AC3" s="36">
        <v>1</v>
      </c>
      <c r="AD3" s="36">
        <v>3</v>
      </c>
      <c r="AE3" s="39">
        <v>0.13</v>
      </c>
      <c r="AF3" s="36">
        <v>136</v>
      </c>
      <c r="AG3" s="42">
        <v>1.2500000000000001E-2</v>
      </c>
      <c r="AH3" s="36">
        <v>40</v>
      </c>
      <c r="AJ3" s="20">
        <v>0</v>
      </c>
    </row>
    <row r="4" spans="1:39">
      <c r="A4" s="55" t="s">
        <v>137</v>
      </c>
      <c r="B4" s="37"/>
      <c r="C4" s="37">
        <v>139.47999999999999</v>
      </c>
      <c r="D4" s="37">
        <v>560.17999999999995</v>
      </c>
      <c r="G4" s="37">
        <v>124.44</v>
      </c>
      <c r="H4" s="21">
        <f>IF('Fee Schedule Tool'!C12&lt;=9,1,IF('Fee Schedule Tool'!C12&lt;=21,2,1))</f>
        <v>1</v>
      </c>
      <c r="I4" s="22"/>
      <c r="J4" s="21">
        <f>IF('Fee Schedule Tool'!C12&lt;=19,1,2)</f>
        <v>1</v>
      </c>
      <c r="K4" s="21">
        <v>2</v>
      </c>
      <c r="L4" s="36">
        <v>960</v>
      </c>
      <c r="M4" s="19">
        <f>IF('Fee Schedule Tool'!C14&gt;=14999,2,1)*'Fee Schedule Tool'!C16</f>
        <v>0</v>
      </c>
      <c r="T4" s="36">
        <v>252.61</v>
      </c>
      <c r="U4" s="36">
        <v>124.44</v>
      </c>
      <c r="V4" s="36">
        <v>124.44</v>
      </c>
      <c r="W4" s="36">
        <v>124.44</v>
      </c>
      <c r="X4" s="36">
        <v>16.32</v>
      </c>
      <c r="Y4" s="36">
        <v>21.71</v>
      </c>
      <c r="Z4" s="36">
        <v>86.75</v>
      </c>
      <c r="AA4" s="36">
        <v>105.48</v>
      </c>
      <c r="AB4" s="36">
        <v>240</v>
      </c>
      <c r="AC4" s="36">
        <v>5</v>
      </c>
      <c r="AG4" s="47" t="str">
        <f>TEXT(AG3,"0.00%")</f>
        <v>1.25%</v>
      </c>
      <c r="AJ4" s="20">
        <v>2.0833333333333332E-2</v>
      </c>
    </row>
    <row r="5" spans="1:39">
      <c r="A5" s="55" t="s">
        <v>95</v>
      </c>
      <c r="B5" s="37"/>
      <c r="C5" s="37">
        <v>110.54</v>
      </c>
      <c r="D5" s="37">
        <v>1120.3699999999999</v>
      </c>
      <c r="G5" s="37">
        <v>105.25</v>
      </c>
      <c r="I5" s="23"/>
      <c r="T5" s="36">
        <v>210.5</v>
      </c>
      <c r="U5" s="36">
        <v>105.25</v>
      </c>
      <c r="V5" s="36">
        <v>105.25</v>
      </c>
      <c r="W5" s="36">
        <v>105.25</v>
      </c>
      <c r="X5" s="36">
        <v>14.28</v>
      </c>
      <c r="Y5" s="36">
        <v>18.989999999999998</v>
      </c>
      <c r="Z5" s="36">
        <v>70.319999999999993</v>
      </c>
      <c r="AA5" s="36">
        <v>56.26</v>
      </c>
      <c r="AF5" s="17"/>
      <c r="AJ5" s="20">
        <v>4.1666666666666699E-2</v>
      </c>
    </row>
    <row r="6" spans="1:39">
      <c r="A6" s="55" t="s">
        <v>96</v>
      </c>
      <c r="B6" s="37"/>
      <c r="C6" s="37">
        <v>2296.7600000000002</v>
      </c>
      <c r="D6" s="37"/>
      <c r="G6" s="37">
        <v>147.36000000000001</v>
      </c>
      <c r="H6" s="44">
        <f>IF(IFERROR('Fee Schedule Tool'!C20-'Fee Schedule Tool'!C19,0)&lt;=0,0,
IF((('Fee Schedule Tool'!C20-'Fee Schedule Tool'!C19)*24)&lt;=4,4,
('Fee Schedule Tool'!C20-'Fee Schedule Tool'!C19)
*24))</f>
        <v>0</v>
      </c>
      <c r="I6" s="44">
        <f>IF(IFERROR('Fee Schedule Tool'!C31-'Fee Schedule Tool'!C29,0)&lt;=0,0,
IF((('Fee Schedule Tool'!C31-'Fee Schedule Tool'!C29)*24)&lt;=4,4,
('Fee Schedule Tool'!C31-'Fee Schedule Tool'!C29)
*24))</f>
        <v>0</v>
      </c>
      <c r="J6" s="44">
        <f>IF('Fee Schedule Tool'!C34="",0,IF(IF(IFERROR('Fee Schedule Tool'!C34-'Fee Schedule Tool'!C27,0)&lt;=0,0,('Fee Schedule Tool'!C34-'Fee Schedule Tool'!C27)*24)+1&lt;=4,4,IF(IFERROR('Fee Schedule Tool'!C34-'Fee Schedule Tool'!C27,0)&lt;=0,0,('Fee Schedule Tool'!C34-'Fee Schedule Tool'!C27)*24)+1))</f>
        <v>0</v>
      </c>
      <c r="K6" s="44">
        <f>IF('Fee Schedule Tool'!C32="",0,IF(IF(IFERROR('Fee Schedule Tool'!C32-'Fee Schedule Tool'!C30,0)&lt;=0,0,('Fee Schedule Tool'!C32-'Fee Schedule Tool'!C30)*24)+1&lt;=4,4,IF(IFERROR('Fee Schedule Tool'!C32-'Fee Schedule Tool'!C30,0)&lt;=0,0,('Fee Schedule Tool'!C32-'Fee Schedule Tool'!C30)*24)+1))</f>
        <v>0</v>
      </c>
      <c r="T6" s="36">
        <v>294.7</v>
      </c>
      <c r="U6" s="36">
        <v>147.36000000000001</v>
      </c>
      <c r="V6" s="36">
        <v>147.36000000000001</v>
      </c>
      <c r="W6" s="36">
        <v>147.36000000000001</v>
      </c>
      <c r="X6" s="36">
        <v>31.5</v>
      </c>
      <c r="Y6" s="36">
        <v>41.9</v>
      </c>
      <c r="Z6" s="36">
        <v>144.77000000000001</v>
      </c>
      <c r="AA6" s="36">
        <v>172.53</v>
      </c>
      <c r="AB6" s="44">
        <f>IF(('Fee Schedule Tool'!C32-'Fee Schedule Tool'!C30)*24-2&lt;=0,0,('Fee Schedule Tool'!C32-'Fee Schedule Tool'!C30)*24-2)</f>
        <v>0</v>
      </c>
      <c r="AF6" s="17"/>
      <c r="AJ6" s="20">
        <v>6.25E-2</v>
      </c>
    </row>
    <row r="7" spans="1:39">
      <c r="H7" s="44">
        <f>IF(IFERROR('Fee Schedule Tool'!C22-'Fee Schedule Tool'!C21,0)&lt;=0,0,IF((('Fee Schedule Tool'!C22-'Fee Schedule Tool'!C21)*24)&lt;=4,4,('Fee Schedule Tool'!C22-'Fee Schedule Tool'!C21)*24))</f>
        <v>0</v>
      </c>
      <c r="I7" s="44">
        <f>IF(IFERROR('Fee Schedule Tool'!C40-'Fee Schedule Tool'!C38,0)&lt;=0,0,
IF((('Fee Schedule Tool'!C40-'Fee Schedule Tool'!C38)*24)&lt;=4,4,
('Fee Schedule Tool'!C40-'Fee Schedule Tool'!C38)
*24))</f>
        <v>0</v>
      </c>
      <c r="J7" s="44">
        <f>IF('Fee Schedule Tool'!C43="",0,IF(IF(IFERROR('Fee Schedule Tool'!C43-'Fee Schedule Tool'!C36,0)&lt;=0,0,('Fee Schedule Tool'!C43-'Fee Schedule Tool'!C36)*24)+1&lt;=4,4,IF(IFERROR('Fee Schedule Tool'!C43-'Fee Schedule Tool'!C36,0)&lt;=0,0,('Fee Schedule Tool'!C43-'Fee Schedule Tool'!C36)*24)+1))</f>
        <v>0</v>
      </c>
      <c r="K7" s="44">
        <f>IF('Fee Schedule Tool'!C41="",0,IF(IF(IFERROR('Fee Schedule Tool'!C41-'Fee Schedule Tool'!C39,0)&lt;=0,0,('Fee Schedule Tool'!C41-'Fee Schedule Tool'!C39)*24)+1&lt;=4,4,IF(IFERROR('Fee Schedule Tool'!C41-'Fee Schedule Tool'!C39,0)&lt;=0,0,('Fee Schedule Tool'!C41-'Fee Schedule Tool'!C39)*24)+1))</f>
        <v>0</v>
      </c>
      <c r="AB7" s="46">
        <f>IF(('Fee Schedule Tool'!C41-'Fee Schedule Tool'!C39)*24-2&lt;=0,0,('Fee Schedule Tool'!C41-'Fee Schedule Tool'!C39)*24-2)</f>
        <v>0</v>
      </c>
      <c r="AD7" s="24"/>
      <c r="AF7" s="17"/>
      <c r="AJ7" s="20">
        <v>8.3333333333333301E-2</v>
      </c>
    </row>
    <row r="8" spans="1:39">
      <c r="H8" s="44">
        <f>IF(IFERROR('Fee Schedule Tool'!C24-'Fee Schedule Tool'!C23,0)&lt;=0,0,IF((('Fee Schedule Tool'!C24-'Fee Schedule Tool'!C23)*24)&lt;=4,4,('Fee Schedule Tool'!C24-'Fee Schedule Tool'!C23)*24))</f>
        <v>0</v>
      </c>
      <c r="I8" s="44">
        <f>IF(IFERROR('Fee Schedule Tool'!C49-'Fee Schedule Tool'!C47,0)&lt;=0,0,
IF((('Fee Schedule Tool'!C49-'Fee Schedule Tool'!C47)*24)&lt;=4,4,
('Fee Schedule Tool'!C49-'Fee Schedule Tool'!C47)
*24))</f>
        <v>0</v>
      </c>
      <c r="J8" s="44">
        <f>IF('Fee Schedule Tool'!C52="",0,IF(IF(IFERROR('Fee Schedule Tool'!C52-'Fee Schedule Tool'!C45,0)&lt;=0,0,('Fee Schedule Tool'!C52-'Fee Schedule Tool'!C45)*24)+1&lt;=4,4,IF(IFERROR('Fee Schedule Tool'!C52-'Fee Schedule Tool'!C45,0)&lt;=0,0,('Fee Schedule Tool'!C52-'Fee Schedule Tool'!C45)*24)+1))</f>
        <v>0</v>
      </c>
      <c r="K8" s="44">
        <f>IF('Fee Schedule Tool'!C50="",0,IF(IF(IFERROR('Fee Schedule Tool'!C50-'Fee Schedule Tool'!C48,0)&lt;=0,0,('Fee Schedule Tool'!C50-'Fee Schedule Tool'!C48)*24)+1&lt;=4,4,IF(IFERROR('Fee Schedule Tool'!C50-'Fee Schedule Tool'!C48,0)&lt;=0,0,('Fee Schedule Tool'!C50-'Fee Schedule Tool'!C48)*24)+1))</f>
        <v>0</v>
      </c>
      <c r="AB8" s="44">
        <f>IF(('Fee Schedule Tool'!C50-'Fee Schedule Tool'!C48)*24-2&lt;=0,0,('Fee Schedule Tool'!C50-'Fee Schedule Tool'!C48)*24-2)</f>
        <v>0</v>
      </c>
      <c r="AJ8" s="20">
        <v>0.104166666666667</v>
      </c>
    </row>
    <row r="9" spans="1:39">
      <c r="B9" s="25"/>
      <c r="H9" s="44">
        <f>IF('Fee Schedule Tool'!C27="",0,IF(IF(IFERROR('Fee Schedule Tool'!C34-'Fee Schedule Tool'!C27,0)&lt;=0,0,('Fee Schedule Tool'!C34-'Fee Schedule Tool'!C27)*24)+1&lt;=4,4,IF(IFERROR('Fee Schedule Tool'!C34-'Fee Schedule Tool'!C27,0)&lt;=0,0,('Fee Schedule Tool'!C34-'Fee Schedule Tool'!C27)*24)))</f>
        <v>0</v>
      </c>
      <c r="I9" s="44">
        <f>IF(IFERROR('Fee Schedule Tool'!C58-'Fee Schedule Tool'!C56,0)&lt;=0,0,
IF((('Fee Schedule Tool'!C58-'Fee Schedule Tool'!C56)*24)&lt;=4,4,
('Fee Schedule Tool'!C58-'Fee Schedule Tool'!C56)
*24))</f>
        <v>0</v>
      </c>
      <c r="J9" s="44">
        <f>IF('Fee Schedule Tool'!C61="",0,IF(IF(IFERROR('Fee Schedule Tool'!C61-'Fee Schedule Tool'!C54,0)&lt;=0,0,('Fee Schedule Tool'!C61-'Fee Schedule Tool'!C54)*24)+1&lt;=4,4,IF(IFERROR('Fee Schedule Tool'!C61-'Fee Schedule Tool'!C54,0)&lt;=0,0,('Fee Schedule Tool'!C61-'Fee Schedule Tool'!C54)*24)+1))</f>
        <v>0</v>
      </c>
      <c r="K9" s="44">
        <f>IF('Fee Schedule Tool'!C59="",0,IF(IF(IFERROR('Fee Schedule Tool'!C59-'Fee Schedule Tool'!C57,0)&lt;=0,0,('Fee Schedule Tool'!C59-'Fee Schedule Tool'!C57)*24)+1&lt;=4,4,IF(IFERROR('Fee Schedule Tool'!C59-'Fee Schedule Tool'!C57,0)&lt;=0,0,('Fee Schedule Tool'!C59-'Fee Schedule Tool'!C57)*24)+1))</f>
        <v>0</v>
      </c>
      <c r="AB9" s="44">
        <f>IF(('Fee Schedule Tool'!C59-'Fee Schedule Tool'!C57)*24-2&lt;=0,0,('Fee Schedule Tool'!C59-'Fee Schedule Tool'!C57)*24-2)</f>
        <v>0</v>
      </c>
      <c r="AJ9" s="20">
        <v>0.125</v>
      </c>
    </row>
    <row r="10" spans="1:39">
      <c r="H10" s="44">
        <f>IF('Fee Schedule Tool'!C36="",0,IF(IF(IFERROR('Fee Schedule Tool'!C43-'Fee Schedule Tool'!C36,0)&lt;=0,0,('Fee Schedule Tool'!C43-'Fee Schedule Tool'!C36)*24)+1&lt;=4,4,IF(IFERROR('Fee Schedule Tool'!C43-'Fee Schedule Tool'!C36,0)&lt;=0,0,('Fee Schedule Tool'!C43-'Fee Schedule Tool'!C36)*24)))</f>
        <v>0</v>
      </c>
      <c r="I10" s="45">
        <f>IF(SUM(I6:I9)&lt;=0,0,IF(SUM(I6:I9)&lt;=4,4,SUM(I6:I9)))</f>
        <v>0</v>
      </c>
      <c r="J10" s="45">
        <f>IF(SUM(J6:J9)&lt;=0,0,IF(SUM(J6:J9)&lt;=4,4,SUM(J6:J9)))</f>
        <v>0</v>
      </c>
      <c r="K10" s="45">
        <f>IF(SUM(K6:K9)&lt;=0,0,IF(SUM(K6:K9)&lt;=4,4,SUM(K6:K9)))</f>
        <v>0</v>
      </c>
      <c r="AB10" s="45">
        <f>SUM(AB6:AB9)</f>
        <v>0</v>
      </c>
      <c r="AJ10" s="20">
        <v>0.14583333333333301</v>
      </c>
    </row>
    <row r="11" spans="1:39">
      <c r="H11" s="44">
        <f>IF('Fee Schedule Tool'!C45="",0,IF(IF(IFERROR('Fee Schedule Tool'!C52-'Fee Schedule Tool'!C45,0)&lt;=0,0,('Fee Schedule Tool'!C52-'Fee Schedule Tool'!C45)*24)+1&lt;=4,4,IF(IFERROR('Fee Schedule Tool'!C52-'Fee Schedule Tool'!C45,0)&lt;=0,0,('Fee Schedule Tool'!C52-'Fee Schedule Tool'!C45)*24)))</f>
        <v>0</v>
      </c>
      <c r="I11" s="21"/>
      <c r="AJ11" s="20">
        <v>0.16666666666666699</v>
      </c>
    </row>
    <row r="12" spans="1:39">
      <c r="H12" s="44">
        <f>IF('Fee Schedule Tool'!C54="",0,IF(IF(IFERROR('Fee Schedule Tool'!C61-'Fee Schedule Tool'!C54,0)&lt;=0,0,('Fee Schedule Tool'!C61-'Fee Schedule Tool'!C54)*24)+1&lt;=4,4,IF(IFERROR('Fee Schedule Tool'!C61-'Fee Schedule Tool'!C54,0)&lt;=0,0,('Fee Schedule Tool'!C61-'Fee Schedule Tool'!C54)*24)))</f>
        <v>0</v>
      </c>
      <c r="I12" s="26"/>
      <c r="AJ12" s="20">
        <v>0.1875</v>
      </c>
    </row>
    <row r="13" spans="1:39">
      <c r="H13" s="44">
        <f>IF('Fee Schedule Tool'!C64="",0,IF(IF(IFERROR('Fee Schedule Tool'!C65-'Fee Schedule Tool'!C64,0)&lt;=0,0,('Fee Schedule Tool'!C65-'Fee Schedule Tool'!C64)*24)+1&lt;=4,4,IF(IFERROR('Fee Schedule Tool'!C65-'Fee Schedule Tool'!C64,0)&lt;=0,0,('Fee Schedule Tool'!C65-'Fee Schedule Tool'!C64)*24)))</f>
        <v>0</v>
      </c>
      <c r="I13" s="26"/>
      <c r="AJ13" s="20">
        <v>0.20833333333333301</v>
      </c>
    </row>
    <row r="14" spans="1:39">
      <c r="H14" s="45">
        <f>IF(SUM(H6:H13)&lt;=0,0,IF(SUM(H6:H13)&lt;=4,4,SUM(H6:H13)))</f>
        <v>0</v>
      </c>
      <c r="I14" s="26"/>
      <c r="AJ14" s="20">
        <v>0.22916666666666699</v>
      </c>
    </row>
    <row r="15" spans="1:39">
      <c r="I15" s="26"/>
      <c r="AJ15" s="20">
        <v>0.25</v>
      </c>
    </row>
    <row r="16" spans="1:39">
      <c r="F16" s="26"/>
      <c r="G16" s="26"/>
      <c r="I16" s="26"/>
      <c r="AJ16" s="20">
        <v>0.27083333333333298</v>
      </c>
    </row>
    <row r="17" spans="1:36">
      <c r="Q17" s="17"/>
      <c r="R17" s="17"/>
      <c r="S17" s="17"/>
      <c r="T17" s="17"/>
      <c r="AJ17" s="20">
        <v>0.29166666666666702</v>
      </c>
    </row>
    <row r="18" spans="1:36">
      <c r="A18" s="50" t="s">
        <v>154</v>
      </c>
      <c r="Q18" s="17"/>
      <c r="R18" s="17"/>
      <c r="S18" s="17"/>
      <c r="T18" s="17"/>
      <c r="AJ18" s="20">
        <v>0.3125</v>
      </c>
    </row>
    <row r="19" spans="1:36">
      <c r="A19" s="43" t="s">
        <v>138</v>
      </c>
      <c r="D19" s="37" t="s">
        <v>141</v>
      </c>
      <c r="E19" s="37"/>
      <c r="I19" s="27"/>
      <c r="AJ19" s="20">
        <v>0.33333333333333298</v>
      </c>
    </row>
    <row r="20" spans="1:36">
      <c r="A20" s="43" t="s">
        <v>140</v>
      </c>
      <c r="D20" s="48" t="s">
        <v>141</v>
      </c>
      <c r="E20" s="48"/>
      <c r="F20" s="17"/>
      <c r="G20" s="17"/>
      <c r="H20" s="17"/>
      <c r="I20" s="17"/>
      <c r="J20" s="17"/>
      <c r="K20" s="17"/>
      <c r="L20" s="17"/>
      <c r="M20" s="17"/>
      <c r="N20" s="17"/>
      <c r="AJ20" s="20">
        <v>0.35416666666666702</v>
      </c>
    </row>
    <row r="21" spans="1:36" ht="15.75">
      <c r="A21" s="54" t="s">
        <v>144</v>
      </c>
      <c r="F21" s="28"/>
      <c r="AJ21" s="20">
        <v>0.375</v>
      </c>
    </row>
    <row r="22" spans="1:36" ht="15.75">
      <c r="F22" s="29"/>
      <c r="AJ22" s="20">
        <v>0.39583333333333298</v>
      </c>
    </row>
    <row r="23" spans="1:36">
      <c r="A23" s="56" t="s">
        <v>145</v>
      </c>
      <c r="D23" s="55" t="s">
        <v>141</v>
      </c>
      <c r="E23" s="55"/>
      <c r="AJ23" s="20">
        <v>0.41666666666666702</v>
      </c>
    </row>
    <row r="24" spans="1:36">
      <c r="A24" s="54" t="s">
        <v>146</v>
      </c>
      <c r="B24" s="17"/>
      <c r="AJ24" s="20">
        <v>0.4375</v>
      </c>
    </row>
    <row r="25" spans="1:36">
      <c r="B25" s="17"/>
      <c r="AJ25" s="20">
        <v>0.45833333333333298</v>
      </c>
    </row>
    <row r="26" spans="1:36">
      <c r="A26" s="49" t="s">
        <v>142</v>
      </c>
      <c r="AJ26" s="20">
        <v>0.47916666666666702</v>
      </c>
    </row>
    <row r="27" spans="1:36">
      <c r="A27" s="43" t="s">
        <v>139</v>
      </c>
      <c r="AJ27" s="20">
        <v>0.5</v>
      </c>
    </row>
    <row r="28" spans="1:36">
      <c r="A28" s="43" t="s">
        <v>143</v>
      </c>
      <c r="AJ28" s="20">
        <v>0.52083333333333304</v>
      </c>
    </row>
    <row r="29" spans="1:36">
      <c r="AJ29" s="20">
        <v>0.54166666666666696</v>
      </c>
    </row>
    <row r="30" spans="1:36">
      <c r="A30" s="50" t="s">
        <v>153</v>
      </c>
      <c r="AJ30" s="20">
        <v>0.5625</v>
      </c>
    </row>
    <row r="31" spans="1:36">
      <c r="A31" s="43" t="s">
        <v>152</v>
      </c>
      <c r="D31" s="19" t="s">
        <v>147</v>
      </c>
      <c r="AJ31" s="20">
        <v>0.58333333333333304</v>
      </c>
    </row>
    <row r="32" spans="1:36">
      <c r="AJ32" s="20">
        <v>0.60416666666666696</v>
      </c>
    </row>
    <row r="33" spans="1:36">
      <c r="AJ33" s="20">
        <v>0.625</v>
      </c>
    </row>
    <row r="34" spans="1:36">
      <c r="A34" s="57" t="s">
        <v>148</v>
      </c>
      <c r="AJ34" s="20">
        <v>0.64583333333333304</v>
      </c>
    </row>
    <row r="35" spans="1:36">
      <c r="A35" s="43" t="s">
        <v>150</v>
      </c>
      <c r="D35" s="19" t="s">
        <v>151</v>
      </c>
      <c r="AJ35" s="20">
        <v>0.66666666666666696</v>
      </c>
    </row>
    <row r="36" spans="1:36">
      <c r="A36" s="43" t="s">
        <v>158</v>
      </c>
      <c r="AJ36" s="20">
        <v>0.6875</v>
      </c>
    </row>
    <row r="37" spans="1:36">
      <c r="A37" s="43" t="s">
        <v>149</v>
      </c>
      <c r="AJ37" s="20">
        <v>0.70833333333333304</v>
      </c>
    </row>
    <row r="38" spans="1:36">
      <c r="A38" s="43" t="s">
        <v>159</v>
      </c>
      <c r="AJ38" s="20">
        <v>0.72916666666666696</v>
      </c>
    </row>
    <row r="39" spans="1:36">
      <c r="A39" s="43" t="s">
        <v>157</v>
      </c>
      <c r="AJ39" s="20">
        <v>0.75</v>
      </c>
    </row>
    <row r="40" spans="1:36">
      <c r="AJ40" s="20">
        <v>0.77083333333333304</v>
      </c>
    </row>
    <row r="41" spans="1:36">
      <c r="AJ41" s="20">
        <v>0.79166666666666696</v>
      </c>
    </row>
    <row r="42" spans="1:36">
      <c r="AJ42" s="20">
        <v>0.8125</v>
      </c>
    </row>
    <row r="43" spans="1:36">
      <c r="AJ43" s="20">
        <v>0.83333333333333304</v>
      </c>
    </row>
    <row r="44" spans="1:36">
      <c r="AJ44" s="20">
        <v>0.85416666666666696</v>
      </c>
    </row>
    <row r="45" spans="1:36">
      <c r="AJ45" s="20">
        <v>0.875</v>
      </c>
    </row>
    <row r="46" spans="1:36">
      <c r="AJ46" s="20">
        <v>0.89583333333333304</v>
      </c>
    </row>
    <row r="47" spans="1:36">
      <c r="AJ47" s="20">
        <v>0.91666666666666696</v>
      </c>
    </row>
    <row r="48" spans="1:36">
      <c r="AJ48" s="20">
        <v>0.9375</v>
      </c>
    </row>
    <row r="49" spans="29:39">
      <c r="AJ49" s="20">
        <v>0.95833333333333304</v>
      </c>
    </row>
    <row r="50" spans="29:39">
      <c r="AJ50" s="20">
        <v>0.97916666666666696</v>
      </c>
    </row>
    <row r="51" spans="29:39">
      <c r="AJ51" s="30" t="s">
        <v>114</v>
      </c>
    </row>
    <row r="52" spans="29:39" ht="12.75" customHeight="1">
      <c r="AC52" s="31"/>
      <c r="AJ52" s="20">
        <v>1.000011574074074</v>
      </c>
    </row>
    <row r="53" spans="29:39">
      <c r="AJ53" s="20">
        <v>1.0208333333333333</v>
      </c>
      <c r="AM53" s="31"/>
    </row>
    <row r="54" spans="29:39">
      <c r="AJ54" s="20">
        <v>1.0416666666666667</v>
      </c>
    </row>
    <row r="55" spans="29:39">
      <c r="AJ55" s="20">
        <v>1.0625</v>
      </c>
    </row>
    <row r="56" spans="29:39">
      <c r="AJ56" s="20">
        <v>1.0833333333333333</v>
      </c>
    </row>
    <row r="57" spans="29:39">
      <c r="AJ57" s="20"/>
    </row>
    <row r="58" spans="29:39">
      <c r="AJ58" s="20"/>
    </row>
    <row r="59" spans="29:39">
      <c r="AJ59" s="20"/>
    </row>
    <row r="60" spans="29:39">
      <c r="AJ60" s="20" t="s">
        <v>124</v>
      </c>
    </row>
  </sheetData>
  <sheetProtection password="BC30" sheet="1" objects="1" scenarios="1" selectLockedCells="1" selectUnlockedCells="1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31fde503-99ac-4d6f-b612-09e52498c756" ContentTypeId="0x0101006CCC631F783E0248A4C93340F709D15B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IconOverlay xmlns="http://schemas.microsoft.com/sharepoint/v4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_dlc_ExpireDate xmlns="http://schemas.microsoft.com/sharepoint/v3">2019-05-19T22:16:19+00:00</_dlc_ExpireDate>
    <RatedBy xmlns="http://schemas.microsoft.com/sharepoint/v3">
      <UserInfo>
        <DisplayName/>
        <AccountId xsi:nil="true"/>
        <AccountType/>
      </UserInfo>
    </RatedBy>
    <_dlc_ExpireDateSaved xmlns="http://schemas.microsoft.com/sharepoint/v3" xsi:nil="true"/>
    <_dlc_DocId xmlns="062aba9d-60d8-4ab5-82a7-992b88dbd735">24D3R426424D-107320357-9</_dlc_DocId>
    <_dlc_DocIdUrl xmlns="062aba9d-60d8-4ab5-82a7-992b88dbd735">
      <Url>http://teamsites.mississauga.ca/sites/118/_layouts/15/DocIdRedir.aspx?ID=24D3R426424D-107320357-9</Url>
      <Description>24D3R426424D-107320357-9</Description>
    </_dlc_DocIdUrl>
    <Contract_x0020_End_x0020_Date xmlns="3e992107-8cf3-49d2-9042-6ab9ea814327" xsi:nil="true"/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ees and Other Revenues (FA.11)" ma:contentTypeID="0x0101006CCC631F783E0248A4C93340F709D15B00FF035FE825FD074191E8623F662B04D9" ma:contentTypeVersion="17" ma:contentTypeDescription="" ma:contentTypeScope="" ma:versionID="15b0ad628cd497bab9e1ec98709ca63a">
  <xsd:schema xmlns:xsd="http://www.w3.org/2001/XMLSchema" xmlns:xs="http://www.w3.org/2001/XMLSchema" xmlns:p="http://schemas.microsoft.com/office/2006/metadata/properties" xmlns:ns1="http://schemas.microsoft.com/sharepoint/v3" xmlns:ns2="062aba9d-60d8-4ab5-82a7-992b88dbd735" xmlns:ns3="3e992107-8cf3-49d2-9042-6ab9ea814327" xmlns:ns4="http://schemas.microsoft.com/sharepoint/v4" targetNamespace="http://schemas.microsoft.com/office/2006/metadata/properties" ma:root="true" ma:fieldsID="54fbced2945c074332f3f26f3aa47ec5" ns1:_="" ns2:_="" ns3:_="" ns4:_="">
    <xsd:import namespace="http://schemas.microsoft.com/sharepoint/v3"/>
    <xsd:import namespace="062aba9d-60d8-4ab5-82a7-992b88dbd735"/>
    <xsd:import namespace="3e992107-8cf3-49d2-9042-6ab9ea81432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_dlc_ExpireDate" minOccurs="0"/>
                <xsd:element ref="ns2:_dlc_DocId" minOccurs="0"/>
                <xsd:element ref="ns2:_dlc_DocIdUrl" minOccurs="0"/>
                <xsd:element ref="ns2:_dlc_DocIdPersistId" minOccurs="0"/>
                <xsd:element ref="ns1:_dlc_Exempt" minOccurs="0"/>
                <xsd:element ref="ns1:_dlc_ExpireDateSaved" minOccurs="0"/>
                <xsd:element ref="ns1:RatingCount" minOccurs="0"/>
                <xsd:element ref="ns1:AverageRating" minOccurs="0"/>
                <xsd:element ref="ns3:Contract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" ma:index="8" nillable="true" ma:displayName="Expiration Date" ma:description="" ma:hidden="true" ma:indexed="true" ma:internalName="_dlc_ExpireDate" ma:readOnly="false">
      <xsd:simpleType>
        <xsd:restriction base="dms:DateTime"/>
      </xsd:simpleType>
    </xsd:element>
    <xsd:element name="_dlc_Exempt" ma:index="12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3" nillable="true" ma:displayName="Original Expiration Date" ma:hidden="true" ma:internalName="_dlc_ExpireDateSaved" ma:readOnly="true">
      <xsd:simpleType>
        <xsd:restriction base="dms:DateTime"/>
      </xsd:simpleType>
    </xsd:element>
    <xsd:element name="RatingCount" ma:index="14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AverageRating" ma:index="15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edBy" ma:index="18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9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20" nillable="true" ma:displayName="Number of Likes" ma:internalName="LikesCount">
      <xsd:simpleType>
        <xsd:restriction base="dms:Unknown"/>
      </xsd:simpleType>
    </xsd:element>
    <xsd:element name="LikedBy" ma:index="21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DeclaredRecord" ma:index="23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24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aba9d-60d8-4ab5-82a7-992b88dbd735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92107-8cf3-49d2-9042-6ab9ea814327" elementFormDefault="qualified">
    <xsd:import namespace="http://schemas.microsoft.com/office/2006/documentManagement/types"/>
    <xsd:import namespace="http://schemas.microsoft.com/office/infopath/2007/PartnerControls"/>
    <xsd:element name="Contract_x0020_End_x0020_Date" ma:index="16" nillable="true" ma:displayName="Contract End Date" ma:format="DateOnly" ma:internalName="Contract_x0020_End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7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p:Policy xmlns:p="office.server.policy" id="" local="true">
  <p:Name>FA.11 - Fees and Other Revenues</p:Name>
  <p:Description/>
  <p:Statement/>
  <p:PolicyItems>
    <p:PolicyItem featureId="Microsoft.Office.RecordsManagement.PolicyFeatures.Expiration" staticId="0x0101006CCC631F783E0248A4C93340F709D15B|1238337031" UniqueId="8ed02427-ec8d-4bde-8597-53cb0063af67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2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Record"/>
              </data>
            </stages>
          </Schedule>
        </Schedules>
      </p:CustomData>
    </p:PolicyItem>
    <p:PolicyItem featureId="Microsoft.Office.RecordsManagement.PolicyFeatures.PolicyAudit" staticId="0x0101006CCC631F783E0248A4C93340F709D15B|1757814118" UniqueId="f1627e5b-0d00-4526-8605-6e923ccd1326">
      <p:Name>Auditing</p:Name>
      <p:Description>Audits user actions on documents and list items to the Audit Log.</p:Description>
      <p:CustomData>
        <Audit>
          <Update/>
          <CheckInOut/>
          <MoveCopy/>
          <DeleteRestore/>
        </Audit>
      </p:CustomData>
    </p:PolicyItem>
  </p:PolicyItems>
</p:Policy>
</file>

<file path=customXml/item7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Version=14.0.0.0,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Version=14.0.0.0, Culture=neutral, PublicKeyToken=71e9bce111e9429c</Assembly>
    <Class>Microsoft.Office.RecordsManagement.Internal.AuditHandler</Class>
    <Data/>
    <Filter/>
  </Receiver>
</spe:Receivers>
</file>

<file path=customXml/itemProps1.xml><?xml version="1.0" encoding="utf-8"?>
<ds:datastoreItem xmlns:ds="http://schemas.openxmlformats.org/officeDocument/2006/customXml" ds:itemID="{BC2C6A7E-B2CA-4B20-BCD8-1F15AE67344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E92960F-B87B-46BE-A934-729DD981D512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sharepoint/v4"/>
    <ds:schemaRef ds:uri="http://purl.org/dc/dcmitype/"/>
    <ds:schemaRef ds:uri="http://schemas.microsoft.com/office/2006/documentManagement/types"/>
    <ds:schemaRef ds:uri="3e992107-8cf3-49d2-9042-6ab9ea814327"/>
    <ds:schemaRef ds:uri="062aba9d-60d8-4ab5-82a7-992b88dbd73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B223B56-1137-471E-8E1B-D551B4FCD4B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401A674D-1C3A-4F65-9FE6-69E2E93F801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6C1AE7A-9BD5-43BF-BA67-B0F91ACA45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62aba9d-60d8-4ab5-82a7-992b88dbd735"/>
    <ds:schemaRef ds:uri="3e992107-8cf3-49d2-9042-6ab9ea814327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19658975-0840-47D6-BB8C-AB3BBE056EFE}">
  <ds:schemaRefs>
    <ds:schemaRef ds:uri="office.server.policy"/>
  </ds:schemaRefs>
</ds:datastoreItem>
</file>

<file path=customXml/itemProps7.xml><?xml version="1.0" encoding="utf-8"?>
<ds:datastoreItem xmlns:ds="http://schemas.openxmlformats.org/officeDocument/2006/customXml" ds:itemID="{01970839-6F7A-41EC-AE73-72FEEAFDC53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Fee Schedule Tool</vt:lpstr>
      <vt:lpstr>Info</vt:lpstr>
      <vt:lpstr>'Fee Schedule Tool'!Print_Area</vt:lpstr>
    </vt:vector>
  </TitlesOfParts>
  <Company>City of Mississauga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MCS Fee Schedule Tool</dc:title>
  <dc:subject>Tool</dc:subject>
  <dc:creator>Sandra Lefrancois;christopher.valeri@mississauga.ca</dc:creator>
  <cp:keywords>MCS</cp:keywords>
  <cp:lastModifiedBy>Sandra Lefrancois</cp:lastModifiedBy>
  <cp:lastPrinted>2017-04-20T15:28:45Z</cp:lastPrinted>
  <dcterms:created xsi:type="dcterms:W3CDTF">2017-01-21T00:28:22Z</dcterms:created>
  <dcterms:modified xsi:type="dcterms:W3CDTF">2017-05-19T22:39:58Z</dcterms:modified>
  <cp:category>Tool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0x0101006CCC631F783E0248A4C93340F709D15B00FF035FE825FD074191E8623F662B04D9</vt:lpwstr>
  </property>
  <property fmtid="{D5CDD505-2E9C-101B-9397-08002B2CF9AE}" pid="3" name="_dlc_policyId">
    <vt:lpwstr>0x0101006CCC631F783E0248A4C93340F709D15B|1238337031</vt:lpwstr>
  </property>
  <property fmtid="{D5CDD505-2E9C-101B-9397-08002B2CF9AE}" pid="4" name="ItemRetentionFormula">
    <vt:lpwstr>&lt;formula id="Microsoft.Office.RecordsManagement.PolicyFeatures.Expiration.Formula.BuiltIn"&gt;&lt;number&gt;2&lt;/number&gt;&lt;property&gt;Modified&lt;/property&gt;&lt;propertyId&gt;28cf69c5-fa48-462a-b5cd-27b6f9d2bd5f&lt;/propertyId&gt;&lt;period&gt;years&lt;/period&gt;&lt;/formula&gt;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lc_DocIdItemGuid">
    <vt:lpwstr>f362b8f7-55a4-4da3-a1d7-f461c248f011</vt:lpwstr>
  </property>
</Properties>
</file>